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mc:AlternateContent xmlns:mc="http://schemas.openxmlformats.org/markup-compatibility/2006">
    <mc:Choice Requires="x15">
      <x15ac:absPath xmlns:x15ac="http://schemas.microsoft.com/office/spreadsheetml/2010/11/ac" url="https://hogskolanigavle-my.sharepoint.com/personal/perzan_hig_se/Documents/Own publications/"/>
    </mc:Choice>
  </mc:AlternateContent>
  <xr:revisionPtr revIDLastSave="6" documentId="8_{6F23CD5C-7E2B-404A-8EF2-840055D476DB}" xr6:coauthVersionLast="47" xr6:coauthVersionMax="47" xr10:uidLastSave="{941DCC98-8A36-455C-B12C-220071662A9A}"/>
  <bookViews>
    <workbookView xWindow="-103" yWindow="-103" windowWidth="25920" windowHeight="16629" firstSheet="1" activeTab="1" xr2:uid="{00000000-000D-0000-FFFF-FFFF00000000}"/>
  </bookViews>
  <sheets>
    <sheet name="Info Bilköp" sheetId="3" r:id="rId1"/>
    <sheet name="Bilköp" sheetId="2" r:id="rId2"/>
    <sheet name="Leasing" sheetId="4" r:id="rId3"/>
    <sheet name="Info Leasing"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2" l="1"/>
  <c r="L18" i="2"/>
  <c r="L125" i="2"/>
  <c r="L105" i="2"/>
  <c r="L85" i="2"/>
  <c r="L86" i="2" s="1"/>
  <c r="L96" i="2" s="1"/>
  <c r="L68" i="2"/>
  <c r="L78" i="2" s="1"/>
  <c r="L79" i="2" s="1"/>
  <c r="L80" i="2" s="1"/>
  <c r="L81" i="2" s="1"/>
  <c r="L82" i="2" s="1"/>
  <c r="L83" i="2" s="1"/>
  <c r="L84" i="2" s="1"/>
  <c r="L45" i="2"/>
  <c r="L51" i="2" s="1"/>
  <c r="L42" i="2"/>
  <c r="L30" i="2"/>
  <c r="L29" i="2"/>
  <c r="L28" i="2"/>
  <c r="D18" i="2"/>
  <c r="E18" i="2"/>
  <c r="G18" i="2"/>
  <c r="H18" i="2"/>
  <c r="J21" i="2"/>
  <c r="J18" i="2"/>
  <c r="I21" i="2"/>
  <c r="I18" i="2"/>
  <c r="K18" i="2"/>
  <c r="D30" i="2"/>
  <c r="E30" i="2"/>
  <c r="F30" i="2"/>
  <c r="G30" i="2"/>
  <c r="H30" i="2"/>
  <c r="I30" i="2"/>
  <c r="J30" i="2"/>
  <c r="K30" i="2"/>
  <c r="M30" i="2"/>
  <c r="C30" i="2"/>
  <c r="D29" i="2"/>
  <c r="E29" i="2"/>
  <c r="F29" i="2"/>
  <c r="G29" i="2"/>
  <c r="H29" i="2"/>
  <c r="I29" i="2"/>
  <c r="J29" i="2"/>
  <c r="K29" i="2"/>
  <c r="M29" i="2"/>
  <c r="C29" i="2"/>
  <c r="N29" i="2"/>
  <c r="AL78" i="2"/>
  <c r="R78" i="2"/>
  <c r="S78" i="2"/>
  <c r="T78" i="2"/>
  <c r="U78" i="2"/>
  <c r="V78" i="2"/>
  <c r="W78" i="2"/>
  <c r="X78" i="2"/>
  <c r="Y78" i="2"/>
  <c r="Z78" i="2"/>
  <c r="AA78" i="2"/>
  <c r="AB78" i="2"/>
  <c r="AC78" i="2"/>
  <c r="AD78" i="2"/>
  <c r="AE78" i="2"/>
  <c r="AF78" i="2"/>
  <c r="AG78" i="2"/>
  <c r="AH78" i="2"/>
  <c r="AI78" i="2"/>
  <c r="AJ78" i="2"/>
  <c r="AK78" i="2"/>
  <c r="R79" i="2"/>
  <c r="S79" i="2"/>
  <c r="T79" i="2"/>
  <c r="U79" i="2"/>
  <c r="V79" i="2"/>
  <c r="W79" i="2"/>
  <c r="X79" i="2"/>
  <c r="Y79" i="2"/>
  <c r="Z79" i="2"/>
  <c r="AA79" i="2"/>
  <c r="AB79" i="2"/>
  <c r="AC79" i="2"/>
  <c r="AD79" i="2"/>
  <c r="AE79" i="2"/>
  <c r="AF79" i="2"/>
  <c r="AG79" i="2"/>
  <c r="AH79" i="2"/>
  <c r="AI79" i="2"/>
  <c r="AJ79" i="2"/>
  <c r="AK79" i="2"/>
  <c r="R80" i="2"/>
  <c r="S80" i="2"/>
  <c r="T80" i="2"/>
  <c r="U80" i="2"/>
  <c r="V80" i="2"/>
  <c r="W80" i="2"/>
  <c r="X80" i="2"/>
  <c r="Y80" i="2"/>
  <c r="Z80" i="2"/>
  <c r="AA80" i="2"/>
  <c r="AB80" i="2"/>
  <c r="AC80" i="2"/>
  <c r="AD80" i="2"/>
  <c r="AE80" i="2"/>
  <c r="AF80" i="2"/>
  <c r="AG80" i="2"/>
  <c r="AH80" i="2"/>
  <c r="AI80" i="2"/>
  <c r="AJ80" i="2"/>
  <c r="R81" i="2"/>
  <c r="S81" i="2"/>
  <c r="T81" i="2"/>
  <c r="U81" i="2"/>
  <c r="V81" i="2"/>
  <c r="W81" i="2"/>
  <c r="X81" i="2"/>
  <c r="Y81" i="2"/>
  <c r="Z81" i="2"/>
  <c r="AA81" i="2"/>
  <c r="AB81" i="2"/>
  <c r="AC81" i="2"/>
  <c r="AD81" i="2"/>
  <c r="AE81" i="2"/>
  <c r="AF81" i="2"/>
  <c r="AG81" i="2"/>
  <c r="AH81" i="2"/>
  <c r="R82" i="2"/>
  <c r="S82" i="2"/>
  <c r="T82" i="2"/>
  <c r="U82" i="2"/>
  <c r="V82" i="2"/>
  <c r="W82" i="2"/>
  <c r="X82" i="2"/>
  <c r="Y82" i="2"/>
  <c r="Z82" i="2"/>
  <c r="AA82" i="2"/>
  <c r="AB82" i="2"/>
  <c r="AC82" i="2"/>
  <c r="AD82" i="2"/>
  <c r="AE82" i="2"/>
  <c r="AF82" i="2"/>
  <c r="AG82" i="2"/>
  <c r="AH82" i="2"/>
  <c r="R83" i="2"/>
  <c r="S83" i="2"/>
  <c r="T83" i="2"/>
  <c r="U83" i="2"/>
  <c r="V83" i="2"/>
  <c r="W83" i="2"/>
  <c r="X83" i="2"/>
  <c r="Y83" i="2"/>
  <c r="Z83" i="2"/>
  <c r="AA83" i="2"/>
  <c r="AB83" i="2"/>
  <c r="AC83" i="2"/>
  <c r="AD83" i="2"/>
  <c r="AE83" i="2"/>
  <c r="AF83" i="2"/>
  <c r="AG83" i="2"/>
  <c r="R84" i="2"/>
  <c r="S84" i="2"/>
  <c r="T84" i="2"/>
  <c r="U84" i="2"/>
  <c r="V84" i="2"/>
  <c r="W84" i="2"/>
  <c r="X84" i="2"/>
  <c r="Y84" i="2"/>
  <c r="Z84" i="2"/>
  <c r="AA84" i="2"/>
  <c r="AB84" i="2"/>
  <c r="AC84" i="2"/>
  <c r="AD84" i="2"/>
  <c r="AE84" i="2"/>
  <c r="AF84" i="2"/>
  <c r="R85" i="2"/>
  <c r="S85" i="2"/>
  <c r="T85" i="2"/>
  <c r="U85" i="2"/>
  <c r="V85" i="2"/>
  <c r="W85" i="2"/>
  <c r="X85" i="2"/>
  <c r="Y85" i="2"/>
  <c r="Z85" i="2"/>
  <c r="AA85" i="2"/>
  <c r="AB85" i="2"/>
  <c r="AC85" i="2"/>
  <c r="AD85" i="2"/>
  <c r="AE85" i="2"/>
  <c r="R86" i="2"/>
  <c r="S86" i="2"/>
  <c r="T86" i="2"/>
  <c r="U86" i="2"/>
  <c r="V86" i="2"/>
  <c r="W86" i="2"/>
  <c r="X86" i="2"/>
  <c r="Y86" i="2"/>
  <c r="Z86" i="2"/>
  <c r="AA86" i="2"/>
  <c r="AB86" i="2"/>
  <c r="AC86" i="2"/>
  <c r="AD86" i="2"/>
  <c r="R87" i="2"/>
  <c r="S87" i="2"/>
  <c r="T87" i="2"/>
  <c r="U87" i="2"/>
  <c r="V87" i="2"/>
  <c r="W87" i="2"/>
  <c r="X87" i="2"/>
  <c r="Y87" i="2"/>
  <c r="Z87" i="2"/>
  <c r="AA87" i="2"/>
  <c r="AB87" i="2"/>
  <c r="AC87" i="2"/>
  <c r="R88" i="2"/>
  <c r="S88" i="2"/>
  <c r="T88" i="2"/>
  <c r="U88" i="2"/>
  <c r="V88" i="2"/>
  <c r="W88" i="2"/>
  <c r="X88" i="2"/>
  <c r="Y88" i="2"/>
  <c r="Z88" i="2"/>
  <c r="AA88" i="2"/>
  <c r="AB88" i="2"/>
  <c r="R89" i="2"/>
  <c r="S89" i="2"/>
  <c r="T89" i="2"/>
  <c r="U89" i="2"/>
  <c r="V89" i="2"/>
  <c r="W89" i="2"/>
  <c r="X89" i="2"/>
  <c r="Y89" i="2"/>
  <c r="Z89" i="2"/>
  <c r="AA89" i="2"/>
  <c r="R90" i="2"/>
  <c r="S90" i="2"/>
  <c r="T90" i="2"/>
  <c r="U90" i="2"/>
  <c r="V90" i="2"/>
  <c r="W90" i="2"/>
  <c r="X90" i="2"/>
  <c r="Y90" i="2"/>
  <c r="Z90" i="2"/>
  <c r="R91" i="2"/>
  <c r="S91" i="2"/>
  <c r="T91" i="2"/>
  <c r="U91" i="2"/>
  <c r="V91" i="2"/>
  <c r="W91" i="2"/>
  <c r="X91" i="2"/>
  <c r="Y91" i="2"/>
  <c r="R92" i="2"/>
  <c r="S92" i="2"/>
  <c r="T92" i="2"/>
  <c r="U92" i="2"/>
  <c r="V92" i="2"/>
  <c r="W92" i="2"/>
  <c r="X92" i="2"/>
  <c r="R93" i="2"/>
  <c r="S93" i="2"/>
  <c r="T93" i="2"/>
  <c r="U93" i="2"/>
  <c r="V93" i="2"/>
  <c r="W93" i="2"/>
  <c r="R94" i="2"/>
  <c r="S94" i="2"/>
  <c r="T94" i="2"/>
  <c r="U94" i="2"/>
  <c r="V94" i="2"/>
  <c r="R95" i="2"/>
  <c r="S95" i="2"/>
  <c r="T95" i="2"/>
  <c r="U95" i="2"/>
  <c r="R96" i="2"/>
  <c r="S96" i="2"/>
  <c r="T96" i="2"/>
  <c r="R97" i="2"/>
  <c r="S97" i="2"/>
  <c r="R98" i="2"/>
  <c r="Q99" i="2"/>
  <c r="Q98" i="2"/>
  <c r="Q79" i="2"/>
  <c r="Q80" i="2"/>
  <c r="Q81" i="2"/>
  <c r="Q82" i="2"/>
  <c r="Q83" i="2"/>
  <c r="Q84" i="2"/>
  <c r="Q85" i="2"/>
  <c r="Q86" i="2"/>
  <c r="Q87" i="2"/>
  <c r="Q88" i="2"/>
  <c r="Q89" i="2"/>
  <c r="Q90" i="2"/>
  <c r="Q91" i="2"/>
  <c r="Q92" i="2"/>
  <c r="Q93" i="2"/>
  <c r="Q94" i="2"/>
  <c r="Q95" i="2"/>
  <c r="Q96" i="2"/>
  <c r="Q97" i="2"/>
  <c r="Q78" i="2"/>
  <c r="L52" i="2" l="1"/>
  <c r="L55" i="2"/>
  <c r="L145" i="2"/>
  <c r="L149" i="2" s="1"/>
  <c r="L159" i="2" s="1"/>
  <c r="L87" i="2"/>
  <c r="L95" i="2"/>
  <c r="L50" i="2"/>
  <c r="L47" i="2"/>
  <c r="L49" i="2"/>
  <c r="L153" i="2"/>
  <c r="L163" i="2" s="1"/>
  <c r="L150" i="2"/>
  <c r="L160" i="2" s="1"/>
  <c r="L154" i="2"/>
  <c r="L164" i="2" s="1"/>
  <c r="L152" i="2"/>
  <c r="L162" i="2" s="1"/>
  <c r="L151" i="2"/>
  <c r="L161" i="2" s="1"/>
  <c r="L69" i="2"/>
  <c r="L134" i="2"/>
  <c r="L127" i="2"/>
  <c r="L135" i="2"/>
  <c r="L71" i="2"/>
  <c r="L97" i="2"/>
  <c r="L53" i="2"/>
  <c r="L72" i="2"/>
  <c r="L106" i="2"/>
  <c r="L116" i="2" s="1"/>
  <c r="L129" i="2"/>
  <c r="L126" i="2"/>
  <c r="L128" i="2"/>
  <c r="L46" i="2"/>
  <c r="L54" i="2"/>
  <c r="L73" i="2"/>
  <c r="L107" i="2"/>
  <c r="L130" i="2"/>
  <c r="L133" i="2"/>
  <c r="L70" i="2"/>
  <c r="L74" i="2"/>
  <c r="L115" i="2"/>
  <c r="L131" i="2"/>
  <c r="L48" i="2"/>
  <c r="L132" i="2"/>
  <c r="H165" i="4"/>
  <c r="D165" i="4"/>
  <c r="K164" i="4"/>
  <c r="J164" i="4"/>
  <c r="H164" i="4"/>
  <c r="J163" i="4"/>
  <c r="H163" i="4"/>
  <c r="L162" i="4"/>
  <c r="K162" i="4"/>
  <c r="J162" i="4"/>
  <c r="G162" i="4"/>
  <c r="F162" i="4"/>
  <c r="D162" i="4"/>
  <c r="C162" i="4"/>
  <c r="I161" i="4"/>
  <c r="F161" i="4"/>
  <c r="D161" i="4"/>
  <c r="K160" i="4"/>
  <c r="G160" i="4"/>
  <c r="F160" i="4"/>
  <c r="C160" i="4"/>
  <c r="L159" i="4"/>
  <c r="J159" i="4"/>
  <c r="I159" i="4"/>
  <c r="H159" i="4"/>
  <c r="K158" i="4"/>
  <c r="J158" i="4"/>
  <c r="G158" i="4"/>
  <c r="F158" i="4"/>
  <c r="C158" i="4"/>
  <c r="L157" i="4"/>
  <c r="H157" i="4"/>
  <c r="G157" i="4"/>
  <c r="F157" i="4"/>
  <c r="E157" i="4"/>
  <c r="K156" i="4"/>
  <c r="K166" i="4" s="1"/>
  <c r="J156" i="4"/>
  <c r="G156" i="4"/>
  <c r="F156" i="4"/>
  <c r="C156" i="4"/>
  <c r="L155" i="4"/>
  <c r="K155" i="4"/>
  <c r="K161" i="4" s="1"/>
  <c r="J155" i="4"/>
  <c r="I155" i="4"/>
  <c r="H155" i="4"/>
  <c r="G155" i="4"/>
  <c r="G163" i="4" s="1"/>
  <c r="F155" i="4"/>
  <c r="F163" i="4" s="1"/>
  <c r="E155" i="4"/>
  <c r="E165" i="4" s="1"/>
  <c r="D155" i="4"/>
  <c r="C155" i="4"/>
  <c r="C161" i="4" s="1"/>
  <c r="L154" i="4"/>
  <c r="K154" i="4"/>
  <c r="J154" i="4"/>
  <c r="I154" i="4"/>
  <c r="H154" i="4"/>
  <c r="G154" i="4"/>
  <c r="F154" i="4"/>
  <c r="E154" i="4"/>
  <c r="D154" i="4"/>
  <c r="C154" i="4"/>
  <c r="H145" i="4"/>
  <c r="J144" i="4"/>
  <c r="H144" i="4"/>
  <c r="F144" i="4"/>
  <c r="J143" i="4"/>
  <c r="I143" i="4"/>
  <c r="H143" i="4"/>
  <c r="D143" i="4"/>
  <c r="L142" i="4"/>
  <c r="J142" i="4"/>
  <c r="G142" i="4"/>
  <c r="D142" i="4"/>
  <c r="C142" i="4"/>
  <c r="L141" i="4"/>
  <c r="I141" i="4"/>
  <c r="H141" i="4"/>
  <c r="J140" i="4"/>
  <c r="H140" i="4"/>
  <c r="G140" i="4"/>
  <c r="L139" i="4"/>
  <c r="I139" i="4"/>
  <c r="H139" i="4"/>
  <c r="D139" i="4"/>
  <c r="J138" i="4"/>
  <c r="F138" i="4"/>
  <c r="D138" i="4"/>
  <c r="C138" i="4"/>
  <c r="L137" i="4"/>
  <c r="I137" i="4"/>
  <c r="H137" i="4"/>
  <c r="D137" i="4"/>
  <c r="J136" i="4"/>
  <c r="H136" i="4"/>
  <c r="C136" i="4"/>
  <c r="J135" i="4"/>
  <c r="I135" i="4"/>
  <c r="I145" i="4" s="1"/>
  <c r="H135" i="4"/>
  <c r="E135" i="4"/>
  <c r="L134" i="4"/>
  <c r="K134" i="4"/>
  <c r="J134" i="4"/>
  <c r="I134" i="4"/>
  <c r="H134" i="4"/>
  <c r="G134" i="4"/>
  <c r="F134" i="4"/>
  <c r="D134" i="4"/>
  <c r="C134" i="4"/>
  <c r="H124" i="4"/>
  <c r="G124" i="4"/>
  <c r="J123" i="4"/>
  <c r="I123" i="4"/>
  <c r="E123" i="4"/>
  <c r="K122" i="4"/>
  <c r="J122" i="4"/>
  <c r="G122" i="4"/>
  <c r="F122" i="4"/>
  <c r="C122" i="4"/>
  <c r="I121" i="4"/>
  <c r="K120" i="4"/>
  <c r="J120" i="4"/>
  <c r="H120" i="4"/>
  <c r="G120" i="4"/>
  <c r="F120" i="4"/>
  <c r="C120" i="4"/>
  <c r="J119" i="4"/>
  <c r="E119" i="4"/>
  <c r="L118" i="4"/>
  <c r="K118" i="4"/>
  <c r="J118" i="4"/>
  <c r="G118" i="4"/>
  <c r="C118" i="4"/>
  <c r="L117" i="4"/>
  <c r="K117" i="4"/>
  <c r="K121" i="4" s="1"/>
  <c r="J117" i="4"/>
  <c r="J121" i="4" s="1"/>
  <c r="I117" i="4"/>
  <c r="I119" i="4" s="1"/>
  <c r="H117" i="4"/>
  <c r="H121" i="4" s="1"/>
  <c r="G117" i="4"/>
  <c r="G123" i="4" s="1"/>
  <c r="F117" i="4"/>
  <c r="E117" i="4"/>
  <c r="D117" i="4"/>
  <c r="D119" i="4" s="1"/>
  <c r="C117" i="4"/>
  <c r="C121" i="4" s="1"/>
  <c r="H116" i="4"/>
  <c r="I115" i="4"/>
  <c r="I125" i="4" s="1"/>
  <c r="H115" i="4"/>
  <c r="H125" i="4" s="1"/>
  <c r="E115" i="4"/>
  <c r="L114" i="4"/>
  <c r="K114" i="4"/>
  <c r="J114" i="4"/>
  <c r="I114" i="4"/>
  <c r="H114" i="4"/>
  <c r="G114" i="4"/>
  <c r="F114" i="4"/>
  <c r="F116" i="4" s="1"/>
  <c r="E114" i="4"/>
  <c r="D114" i="4"/>
  <c r="C114" i="4"/>
  <c r="G112" i="4"/>
  <c r="K104" i="4"/>
  <c r="J104" i="4"/>
  <c r="G104" i="4"/>
  <c r="F104" i="4"/>
  <c r="L96" i="4"/>
  <c r="J96" i="4"/>
  <c r="L95" i="4"/>
  <c r="K95" i="4"/>
  <c r="J95" i="4"/>
  <c r="G95" i="4"/>
  <c r="G106" i="4" s="1"/>
  <c r="D95" i="4"/>
  <c r="D105" i="4" s="1"/>
  <c r="L94" i="4"/>
  <c r="L104" i="4" s="1"/>
  <c r="K94" i="4"/>
  <c r="K105" i="4" s="1"/>
  <c r="J94" i="4"/>
  <c r="I94" i="4"/>
  <c r="H94" i="4"/>
  <c r="G94" i="4"/>
  <c r="G96" i="4" s="1"/>
  <c r="F94" i="4"/>
  <c r="E94" i="4"/>
  <c r="D94" i="4"/>
  <c r="D104" i="4" s="1"/>
  <c r="C94" i="4"/>
  <c r="K84" i="4"/>
  <c r="H84" i="4"/>
  <c r="E84" i="4"/>
  <c r="D84" i="4"/>
  <c r="C77" i="4"/>
  <c r="K76" i="4"/>
  <c r="H76" i="4"/>
  <c r="E76" i="4"/>
  <c r="H75" i="4"/>
  <c r="E75" i="4"/>
  <c r="E85" i="4" s="1"/>
  <c r="D75" i="4"/>
  <c r="L74" i="4"/>
  <c r="L84" i="4" s="1"/>
  <c r="K74" i="4"/>
  <c r="K75" i="4" s="1"/>
  <c r="K85" i="4" s="1"/>
  <c r="J74" i="4"/>
  <c r="J75" i="4" s="1"/>
  <c r="I74" i="4"/>
  <c r="H74" i="4"/>
  <c r="G74" i="4"/>
  <c r="F74" i="4"/>
  <c r="E74" i="4"/>
  <c r="D74" i="4"/>
  <c r="C74" i="4"/>
  <c r="C75" i="4" s="1"/>
  <c r="I69" i="4"/>
  <c r="I70" i="4" s="1"/>
  <c r="I71" i="4" s="1"/>
  <c r="I72" i="4" s="1"/>
  <c r="I73" i="4" s="1"/>
  <c r="L67" i="4"/>
  <c r="L68" i="4" s="1"/>
  <c r="L69" i="4" s="1"/>
  <c r="L70" i="4" s="1"/>
  <c r="L71" i="4" s="1"/>
  <c r="L72" i="4" s="1"/>
  <c r="L73" i="4" s="1"/>
  <c r="I67" i="4"/>
  <c r="I68" i="4" s="1"/>
  <c r="H67" i="4"/>
  <c r="H68" i="4" s="1"/>
  <c r="H69" i="4" s="1"/>
  <c r="H70" i="4" s="1"/>
  <c r="H71" i="4" s="1"/>
  <c r="H72" i="4" s="1"/>
  <c r="H73" i="4" s="1"/>
  <c r="E67" i="4"/>
  <c r="E68" i="4" s="1"/>
  <c r="E69" i="4" s="1"/>
  <c r="E70" i="4" s="1"/>
  <c r="E71" i="4" s="1"/>
  <c r="E72" i="4" s="1"/>
  <c r="E73" i="4" s="1"/>
  <c r="D67" i="4"/>
  <c r="D68" i="4" s="1"/>
  <c r="D69" i="4" s="1"/>
  <c r="D70" i="4" s="1"/>
  <c r="D71" i="4" s="1"/>
  <c r="D72" i="4" s="1"/>
  <c r="D73" i="4" s="1"/>
  <c r="L63" i="4"/>
  <c r="I63" i="4"/>
  <c r="G63" i="4"/>
  <c r="D63" i="4"/>
  <c r="C63" i="4"/>
  <c r="L62" i="4"/>
  <c r="I62" i="4"/>
  <c r="D62" i="4"/>
  <c r="L60" i="4"/>
  <c r="I60" i="4"/>
  <c r="E60" i="4"/>
  <c r="D60" i="4"/>
  <c r="L59" i="4"/>
  <c r="I59" i="4"/>
  <c r="D59" i="4"/>
  <c r="L58" i="4"/>
  <c r="K58" i="4"/>
  <c r="I58" i="4"/>
  <c r="H58" i="4"/>
  <c r="E58" i="4"/>
  <c r="D58" i="4"/>
  <c r="L57" i="4"/>
  <c r="L61" i="4" s="1"/>
  <c r="K57" i="4"/>
  <c r="J57" i="4"/>
  <c r="J61" i="4" s="1"/>
  <c r="I57" i="4"/>
  <c r="I61" i="4" s="1"/>
  <c r="H57" i="4"/>
  <c r="H62" i="4" s="1"/>
  <c r="G57" i="4"/>
  <c r="G67" i="4" s="1"/>
  <c r="G68" i="4" s="1"/>
  <c r="G69" i="4" s="1"/>
  <c r="G70" i="4" s="1"/>
  <c r="G71" i="4" s="1"/>
  <c r="G72" i="4" s="1"/>
  <c r="G73" i="4" s="1"/>
  <c r="F57" i="4"/>
  <c r="F63" i="4" s="1"/>
  <c r="E57" i="4"/>
  <c r="D57" i="4"/>
  <c r="D61" i="4" s="1"/>
  <c r="C57" i="4"/>
  <c r="H43" i="4"/>
  <c r="G43" i="4"/>
  <c r="J42" i="4"/>
  <c r="L41" i="4"/>
  <c r="F41" i="4"/>
  <c r="H40" i="4"/>
  <c r="J39" i="4"/>
  <c r="G39" i="4"/>
  <c r="L38" i="4"/>
  <c r="J38" i="4"/>
  <c r="I38" i="4"/>
  <c r="L37" i="4"/>
  <c r="F37" i="4"/>
  <c r="L36" i="4"/>
  <c r="J35" i="4"/>
  <c r="H35" i="4"/>
  <c r="G35" i="4"/>
  <c r="F35" i="4"/>
  <c r="L34" i="4"/>
  <c r="J34" i="4"/>
  <c r="I34" i="4"/>
  <c r="H34" i="4"/>
  <c r="G34" i="4"/>
  <c r="D34" i="4"/>
  <c r="L25" i="4"/>
  <c r="K25" i="4"/>
  <c r="J25" i="4"/>
  <c r="I25" i="4"/>
  <c r="H25" i="4"/>
  <c r="G25" i="4"/>
  <c r="F25" i="4"/>
  <c r="E25" i="4"/>
  <c r="D25" i="4"/>
  <c r="C25" i="4"/>
  <c r="E20" i="4"/>
  <c r="E134" i="4" s="1"/>
  <c r="S16" i="4"/>
  <c r="F34" i="4" s="1"/>
  <c r="C28" i="2"/>
  <c r="D28" i="2"/>
  <c r="E28" i="2"/>
  <c r="F28" i="2"/>
  <c r="G28" i="2"/>
  <c r="H28" i="2"/>
  <c r="I28" i="2"/>
  <c r="J28" i="2"/>
  <c r="K28" i="2"/>
  <c r="M28" i="2"/>
  <c r="F18" i="2"/>
  <c r="C18" i="2"/>
  <c r="L64" i="2" l="1"/>
  <c r="L147" i="2"/>
  <c r="L157" i="2" s="1"/>
  <c r="L155" i="2"/>
  <c r="L165" i="2" s="1"/>
  <c r="L148" i="2"/>
  <c r="L158" i="2" s="1"/>
  <c r="L156" i="2"/>
  <c r="L34" i="2" s="1"/>
  <c r="L144" i="2"/>
  <c r="L62" i="2"/>
  <c r="L141" i="2"/>
  <c r="L137" i="2"/>
  <c r="L33" i="2" s="1"/>
  <c r="L143" i="2"/>
  <c r="L142" i="2"/>
  <c r="L63" i="2"/>
  <c r="L57" i="2"/>
  <c r="L31" i="2" s="1"/>
  <c r="L58" i="2"/>
  <c r="L60" i="2"/>
  <c r="L59" i="2"/>
  <c r="L117" i="2"/>
  <c r="L138" i="2"/>
  <c r="L136" i="2"/>
  <c r="L61" i="2"/>
  <c r="L139" i="2"/>
  <c r="L140" i="2"/>
  <c r="L101" i="2"/>
  <c r="L100" i="2"/>
  <c r="L99" i="2"/>
  <c r="L102" i="2"/>
  <c r="L98" i="2"/>
  <c r="L104" i="2"/>
  <c r="L103" i="2"/>
  <c r="L56" i="2"/>
  <c r="K24" i="4"/>
  <c r="K23" i="4"/>
  <c r="K27" i="4" s="1"/>
  <c r="E86" i="4"/>
  <c r="D44" i="4"/>
  <c r="D40" i="4"/>
  <c r="D43" i="4"/>
  <c r="D39" i="4"/>
  <c r="D35" i="4"/>
  <c r="D46" i="4" s="1"/>
  <c r="D26" i="4" s="1"/>
  <c r="D37" i="4"/>
  <c r="D41" i="4"/>
  <c r="C67" i="4"/>
  <c r="C68" i="4" s="1"/>
  <c r="C69" i="4" s="1"/>
  <c r="C70" i="4" s="1"/>
  <c r="C71" i="4" s="1"/>
  <c r="C72" i="4" s="1"/>
  <c r="C73" i="4" s="1"/>
  <c r="C60" i="4"/>
  <c r="C59" i="4"/>
  <c r="C58" i="4"/>
  <c r="K67" i="4"/>
  <c r="K68" i="4" s="1"/>
  <c r="K69" i="4" s="1"/>
  <c r="K70" i="4" s="1"/>
  <c r="K71" i="4" s="1"/>
  <c r="K72" i="4" s="1"/>
  <c r="K73" i="4" s="1"/>
  <c r="K60" i="4"/>
  <c r="K61" i="4"/>
  <c r="K63" i="4"/>
  <c r="K62" i="4"/>
  <c r="C61" i="4"/>
  <c r="G75" i="4"/>
  <c r="G85" i="4" s="1"/>
  <c r="F43" i="4"/>
  <c r="F39" i="4"/>
  <c r="F51" i="4" s="1"/>
  <c r="F42" i="4"/>
  <c r="F38" i="4"/>
  <c r="F45" i="4"/>
  <c r="H42" i="4"/>
  <c r="H38" i="4"/>
  <c r="H52" i="4" s="1"/>
  <c r="H45" i="4"/>
  <c r="H41" i="4"/>
  <c r="H37" i="4"/>
  <c r="H44" i="4"/>
  <c r="D36" i="4"/>
  <c r="J37" i="4"/>
  <c r="H39" i="4"/>
  <c r="F44" i="4"/>
  <c r="H47" i="4"/>
  <c r="C62" i="4"/>
  <c r="H86" i="4"/>
  <c r="H85" i="4"/>
  <c r="G84" i="4"/>
  <c r="D124" i="4"/>
  <c r="D116" i="4"/>
  <c r="D115" i="4"/>
  <c r="D129" i="4" s="1"/>
  <c r="D126" i="4"/>
  <c r="D28" i="4" s="1"/>
  <c r="L124" i="4"/>
  <c r="L116" i="4"/>
  <c r="L115" i="4"/>
  <c r="K59" i="4"/>
  <c r="J45" i="4"/>
  <c r="J41" i="4"/>
  <c r="J44" i="4"/>
  <c r="J40" i="4"/>
  <c r="J36" i="4"/>
  <c r="J46" i="4" s="1"/>
  <c r="J26" i="4" s="1"/>
  <c r="J43" i="4"/>
  <c r="F36" i="4"/>
  <c r="D42" i="4"/>
  <c r="F48" i="4"/>
  <c r="G76" i="4"/>
  <c r="I45" i="4"/>
  <c r="I41" i="4"/>
  <c r="I37" i="4"/>
  <c r="I44" i="4"/>
  <c r="I40" i="4"/>
  <c r="I36" i="4"/>
  <c r="I49" i="4" s="1"/>
  <c r="I47" i="4"/>
  <c r="I43" i="4"/>
  <c r="I39" i="4"/>
  <c r="I35" i="4"/>
  <c r="G111" i="4"/>
  <c r="G107" i="4"/>
  <c r="G113" i="4"/>
  <c r="G109" i="4"/>
  <c r="G108" i="4"/>
  <c r="G110" i="4"/>
  <c r="L44" i="4"/>
  <c r="L40" i="4"/>
  <c r="L43" i="4"/>
  <c r="L39" i="4"/>
  <c r="L35" i="4"/>
  <c r="L46" i="4" s="1"/>
  <c r="L26" i="4" s="1"/>
  <c r="L42" i="4"/>
  <c r="H36" i="4"/>
  <c r="H46" i="4" s="1"/>
  <c r="H26" i="4" s="1"/>
  <c r="D38" i="4"/>
  <c r="F40" i="4"/>
  <c r="I42" i="4"/>
  <c r="F96" i="4"/>
  <c r="F95" i="4"/>
  <c r="F106" i="4" s="1"/>
  <c r="C115" i="4"/>
  <c r="C126" i="4" s="1"/>
  <c r="C28" i="4" s="1"/>
  <c r="K115" i="4"/>
  <c r="K116" i="4"/>
  <c r="K128" i="4"/>
  <c r="H127" i="4"/>
  <c r="K141" i="4"/>
  <c r="K137" i="4"/>
  <c r="K143" i="4"/>
  <c r="K139" i="4"/>
  <c r="K135" i="4"/>
  <c r="K149" i="4" s="1"/>
  <c r="K142" i="4"/>
  <c r="K138" i="4"/>
  <c r="K144" i="4"/>
  <c r="C34" i="4"/>
  <c r="K34" i="4"/>
  <c r="G36" i="4"/>
  <c r="G40" i="4"/>
  <c r="G44" i="4"/>
  <c r="E63" i="4"/>
  <c r="E59" i="4"/>
  <c r="E61" i="4"/>
  <c r="E62" i="4"/>
  <c r="I84" i="4"/>
  <c r="I76" i="4"/>
  <c r="I75" i="4"/>
  <c r="J76" i="4"/>
  <c r="J86" i="4" s="1"/>
  <c r="J84" i="4"/>
  <c r="J85" i="4"/>
  <c r="K86" i="4"/>
  <c r="E92" i="4"/>
  <c r="H95" i="4"/>
  <c r="H105" i="4" s="1"/>
  <c r="H104" i="4"/>
  <c r="E125" i="4"/>
  <c r="C124" i="4"/>
  <c r="K136" i="4"/>
  <c r="C165" i="4"/>
  <c r="C164" i="4"/>
  <c r="K165" i="4"/>
  <c r="I162" i="4"/>
  <c r="I158" i="4"/>
  <c r="I160" i="4"/>
  <c r="I156" i="4"/>
  <c r="I165" i="4"/>
  <c r="I157" i="4"/>
  <c r="I170" i="4" s="1"/>
  <c r="I163" i="4"/>
  <c r="F115" i="4"/>
  <c r="F125" i="4" s="1"/>
  <c r="F126" i="4"/>
  <c r="F28" i="4" s="1"/>
  <c r="D120" i="4"/>
  <c r="D122" i="4"/>
  <c r="L167" i="4"/>
  <c r="F67" i="4"/>
  <c r="F68" i="4" s="1"/>
  <c r="F69" i="4" s="1"/>
  <c r="F70" i="4" s="1"/>
  <c r="F71" i="4" s="1"/>
  <c r="F72" i="4" s="1"/>
  <c r="F73" i="4" s="1"/>
  <c r="F60" i="4"/>
  <c r="F62" i="4"/>
  <c r="E34" i="4"/>
  <c r="G37" i="4"/>
  <c r="G41" i="4"/>
  <c r="G45" i="4"/>
  <c r="G62" i="4"/>
  <c r="G58" i="4"/>
  <c r="F59" i="4"/>
  <c r="G60" i="4"/>
  <c r="G61" i="4"/>
  <c r="L75" i="4"/>
  <c r="L86" i="4" s="1"/>
  <c r="E89" i="4"/>
  <c r="E120" i="4"/>
  <c r="E122" i="4"/>
  <c r="E118" i="4"/>
  <c r="E121" i="4"/>
  <c r="H119" i="4"/>
  <c r="D121" i="4"/>
  <c r="F143" i="4"/>
  <c r="F139" i="4"/>
  <c r="F135" i="4"/>
  <c r="F145" i="4" s="1"/>
  <c r="F140" i="4"/>
  <c r="F141" i="4"/>
  <c r="F136" i="4"/>
  <c r="F142" i="4"/>
  <c r="H147" i="4"/>
  <c r="F137" i="4"/>
  <c r="K140" i="4"/>
  <c r="G144" i="4"/>
  <c r="L163" i="4"/>
  <c r="C166" i="4"/>
  <c r="F61" i="4"/>
  <c r="I95" i="4"/>
  <c r="I106" i="4" s="1"/>
  <c r="I104" i="4"/>
  <c r="L120" i="4"/>
  <c r="L123" i="4"/>
  <c r="L119" i="4"/>
  <c r="F124" i="4"/>
  <c r="E144" i="4"/>
  <c r="E140" i="4"/>
  <c r="E136" i="4"/>
  <c r="E146" i="4" s="1"/>
  <c r="E29" i="4" s="1"/>
  <c r="E142" i="4"/>
  <c r="E138" i="4"/>
  <c r="E145" i="4"/>
  <c r="E137" i="4"/>
  <c r="E151" i="4" s="1"/>
  <c r="H63" i="4"/>
  <c r="H59" i="4"/>
  <c r="F58" i="4"/>
  <c r="G59" i="4"/>
  <c r="H60" i="4"/>
  <c r="H61" i="4"/>
  <c r="J63" i="4"/>
  <c r="J67" i="4"/>
  <c r="J68" i="4" s="1"/>
  <c r="J69" i="4" s="1"/>
  <c r="J70" i="4" s="1"/>
  <c r="J71" i="4" s="1"/>
  <c r="J72" i="4" s="1"/>
  <c r="J73" i="4" s="1"/>
  <c r="D76" i="4"/>
  <c r="D85" i="4"/>
  <c r="L76" i="4"/>
  <c r="L85" i="4"/>
  <c r="C76" i="4"/>
  <c r="C86" i="4" s="1"/>
  <c r="C84" i="4"/>
  <c r="C85" i="4"/>
  <c r="D86" i="4"/>
  <c r="E87" i="4"/>
  <c r="E88" i="4"/>
  <c r="C96" i="4"/>
  <c r="C95" i="4"/>
  <c r="C104" i="4"/>
  <c r="H96" i="4"/>
  <c r="J115" i="4"/>
  <c r="J128" i="4" s="1"/>
  <c r="F123" i="4"/>
  <c r="F119" i="4"/>
  <c r="F121" i="4"/>
  <c r="F118" i="4"/>
  <c r="D118" i="4"/>
  <c r="L122" i="4"/>
  <c r="K126" i="4"/>
  <c r="K28" i="4" s="1"/>
  <c r="G143" i="4"/>
  <c r="G139" i="4"/>
  <c r="G135" i="4"/>
  <c r="G145" i="4" s="1"/>
  <c r="G141" i="4"/>
  <c r="G137" i="4"/>
  <c r="G136" i="4"/>
  <c r="G147" i="4" s="1"/>
  <c r="G138" i="4"/>
  <c r="E139" i="4"/>
  <c r="E141" i="4"/>
  <c r="F171" i="4"/>
  <c r="F167" i="4"/>
  <c r="F172" i="4"/>
  <c r="F173" i="4"/>
  <c r="F168" i="4"/>
  <c r="F165" i="4"/>
  <c r="D160" i="4"/>
  <c r="D156" i="4"/>
  <c r="D166" i="4" s="1"/>
  <c r="D158" i="4"/>
  <c r="D168" i="4" s="1"/>
  <c r="D157" i="4"/>
  <c r="D163" i="4"/>
  <c r="L160" i="4"/>
  <c r="L156" i="4"/>
  <c r="L161" i="4"/>
  <c r="L158" i="4"/>
  <c r="D159" i="4"/>
  <c r="F164" i="4"/>
  <c r="G38" i="4"/>
  <c r="G42" i="4"/>
  <c r="I96" i="4"/>
  <c r="D123" i="4"/>
  <c r="K124" i="4"/>
  <c r="G167" i="4"/>
  <c r="G165" i="4"/>
  <c r="G168" i="4"/>
  <c r="G164" i="4"/>
  <c r="G170" i="4"/>
  <c r="E160" i="4"/>
  <c r="E156" i="4"/>
  <c r="E166" i="4" s="1"/>
  <c r="E162" i="4"/>
  <c r="E158" i="4"/>
  <c r="E163" i="4"/>
  <c r="E159" i="4"/>
  <c r="E172" i="4" s="1"/>
  <c r="F166" i="4"/>
  <c r="J62" i="4"/>
  <c r="J58" i="4"/>
  <c r="J59" i="4"/>
  <c r="J60" i="4"/>
  <c r="F75" i="4"/>
  <c r="F84" i="4"/>
  <c r="F76" i="4"/>
  <c r="F85" i="4"/>
  <c r="J129" i="4"/>
  <c r="J116" i="4"/>
  <c r="J124" i="4"/>
  <c r="C116" i="4"/>
  <c r="C127" i="4" s="1"/>
  <c r="H122" i="4"/>
  <c r="H118" i="4"/>
  <c r="H132" i="4" s="1"/>
  <c r="H123" i="4"/>
  <c r="L121" i="4"/>
  <c r="E143" i="4"/>
  <c r="E161" i="4"/>
  <c r="G166" i="4"/>
  <c r="J105" i="4"/>
  <c r="J106" i="4"/>
  <c r="G116" i="4"/>
  <c r="G126" i="4" s="1"/>
  <c r="G28" i="4" s="1"/>
  <c r="H128" i="4"/>
  <c r="J145" i="4"/>
  <c r="J141" i="4"/>
  <c r="J137" i="4"/>
  <c r="J147" i="4" s="1"/>
  <c r="L135" i="4"/>
  <c r="J139" i="4"/>
  <c r="J149" i="4" s="1"/>
  <c r="D141" i="4"/>
  <c r="J148" i="4"/>
  <c r="J165" i="4"/>
  <c r="H162" i="4"/>
  <c r="H158" i="4"/>
  <c r="H156" i="4"/>
  <c r="H161" i="4"/>
  <c r="J166" i="4"/>
  <c r="D96" i="4"/>
  <c r="D106" i="4" s="1"/>
  <c r="L106" i="4"/>
  <c r="G131" i="4"/>
  <c r="G115" i="4"/>
  <c r="G125" i="4" s="1"/>
  <c r="I122" i="4"/>
  <c r="I118" i="4"/>
  <c r="I128" i="4" s="1"/>
  <c r="I120" i="4"/>
  <c r="C141" i="4"/>
  <c r="C153" i="4" s="1"/>
  <c r="C137" i="4"/>
  <c r="C143" i="4"/>
  <c r="C139" i="4"/>
  <c r="C135" i="4"/>
  <c r="C145" i="4" s="1"/>
  <c r="L144" i="4"/>
  <c r="L140" i="4"/>
  <c r="L136" i="4"/>
  <c r="C140" i="4"/>
  <c r="L143" i="4"/>
  <c r="D164" i="4"/>
  <c r="L164" i="4"/>
  <c r="J161" i="4"/>
  <c r="J157" i="4"/>
  <c r="J172" i="4" s="1"/>
  <c r="H160" i="4"/>
  <c r="E104" i="4"/>
  <c r="E95" i="4"/>
  <c r="E105" i="4" s="1"/>
  <c r="E96" i="4"/>
  <c r="L105" i="4"/>
  <c r="D144" i="4"/>
  <c r="D140" i="4"/>
  <c r="D136" i="4"/>
  <c r="D153" i="4" s="1"/>
  <c r="D135" i="4"/>
  <c r="L138" i="4"/>
  <c r="C144" i="4"/>
  <c r="J146" i="4"/>
  <c r="J29" i="4" s="1"/>
  <c r="J160" i="4"/>
  <c r="L165" i="4"/>
  <c r="D167" i="4"/>
  <c r="K96" i="4"/>
  <c r="K106" i="4" s="1"/>
  <c r="G105" i="4"/>
  <c r="I116" i="4"/>
  <c r="C119" i="4"/>
  <c r="K119" i="4"/>
  <c r="G121" i="4"/>
  <c r="C123" i="4"/>
  <c r="K123" i="4"/>
  <c r="I124" i="4"/>
  <c r="I136" i="4"/>
  <c r="I140" i="4"/>
  <c r="I144" i="4"/>
  <c r="C159" i="4"/>
  <c r="K159" i="4"/>
  <c r="K171" i="4" s="1"/>
  <c r="G161" i="4"/>
  <c r="C163" i="4"/>
  <c r="K163" i="4"/>
  <c r="I164" i="4"/>
  <c r="E170" i="4"/>
  <c r="H126" i="4"/>
  <c r="H28" i="4" s="1"/>
  <c r="H138" i="4"/>
  <c r="H150" i="4" s="1"/>
  <c r="H142" i="4"/>
  <c r="H146" i="4"/>
  <c r="H29" i="4" s="1"/>
  <c r="F159" i="4"/>
  <c r="F170" i="4" s="1"/>
  <c r="H166" i="4"/>
  <c r="E116" i="4"/>
  <c r="E127" i="4" s="1"/>
  <c r="G119" i="4"/>
  <c r="E124" i="4"/>
  <c r="I138" i="4"/>
  <c r="I150" i="4" s="1"/>
  <c r="I142" i="4"/>
  <c r="I146" i="4"/>
  <c r="I29" i="4" s="1"/>
  <c r="C157" i="4"/>
  <c r="K157" i="4"/>
  <c r="K173" i="4" s="1"/>
  <c r="G159" i="4"/>
  <c r="G172" i="4" s="1"/>
  <c r="E164" i="4"/>
  <c r="I166" i="4"/>
  <c r="N105" i="2"/>
  <c r="L124" i="2" l="1"/>
  <c r="L123" i="2"/>
  <c r="L118" i="2"/>
  <c r="L122" i="2"/>
  <c r="L120" i="2"/>
  <c r="L121" i="2"/>
  <c r="L119" i="2"/>
  <c r="H51" i="4"/>
  <c r="G53" i="4"/>
  <c r="E150" i="4"/>
  <c r="J167" i="4"/>
  <c r="J126" i="4"/>
  <c r="J28" i="4" s="1"/>
  <c r="I169" i="4"/>
  <c r="K129" i="4"/>
  <c r="L47" i="4"/>
  <c r="J169" i="4"/>
  <c r="J173" i="4"/>
  <c r="G132" i="4"/>
  <c r="C151" i="4"/>
  <c r="K133" i="4"/>
  <c r="I152" i="4"/>
  <c r="L173" i="4"/>
  <c r="I168" i="4"/>
  <c r="F86" i="4"/>
  <c r="G169" i="4"/>
  <c r="I173" i="4"/>
  <c r="D48" i="4"/>
  <c r="L50" i="4"/>
  <c r="F50" i="4"/>
  <c r="J170" i="4"/>
  <c r="H50" i="4"/>
  <c r="C171" i="4"/>
  <c r="I130" i="4"/>
  <c r="G173" i="4"/>
  <c r="F129" i="4"/>
  <c r="H131" i="4"/>
  <c r="F130" i="4"/>
  <c r="K145" i="4"/>
  <c r="I50" i="4"/>
  <c r="L132" i="4"/>
  <c r="E90" i="4"/>
  <c r="E93" i="4"/>
  <c r="E91" i="4"/>
  <c r="I151" i="4"/>
  <c r="D133" i="4"/>
  <c r="L170" i="4"/>
  <c r="K170" i="4"/>
  <c r="C147" i="4"/>
  <c r="G133" i="4"/>
  <c r="G149" i="4"/>
  <c r="E147" i="4"/>
  <c r="I105" i="4"/>
  <c r="I172" i="4"/>
  <c r="K152" i="4"/>
  <c r="C133" i="4"/>
  <c r="L48" i="4"/>
  <c r="G153" i="4"/>
  <c r="H152" i="4"/>
  <c r="D45" i="4"/>
  <c r="L168" i="4"/>
  <c r="H173" i="4"/>
  <c r="J127" i="4"/>
  <c r="D146" i="4"/>
  <c r="D29" i="4" s="1"/>
  <c r="L166" i="4"/>
  <c r="G127" i="4"/>
  <c r="J125" i="4"/>
  <c r="G171" i="4"/>
  <c r="D173" i="4"/>
  <c r="E152" i="4"/>
  <c r="K153" i="4"/>
  <c r="F127" i="4"/>
  <c r="C128" i="4"/>
  <c r="H151" i="4"/>
  <c r="C125" i="4"/>
  <c r="I53" i="4"/>
  <c r="E24" i="4"/>
  <c r="E23" i="4"/>
  <c r="C91" i="4"/>
  <c r="C87" i="4"/>
  <c r="C93" i="4"/>
  <c r="C89" i="4"/>
  <c r="C88" i="4"/>
  <c r="C90" i="4"/>
  <c r="C92" i="4"/>
  <c r="F93" i="4"/>
  <c r="F92" i="4"/>
  <c r="F88" i="4"/>
  <c r="F87" i="4"/>
  <c r="F89" i="4"/>
  <c r="F91" i="4"/>
  <c r="F90" i="4"/>
  <c r="I110" i="4"/>
  <c r="I112" i="4"/>
  <c r="I108" i="4"/>
  <c r="I109" i="4"/>
  <c r="I111" i="4"/>
  <c r="I107" i="4"/>
  <c r="I113" i="4"/>
  <c r="F111" i="4"/>
  <c r="F107" i="4"/>
  <c r="F112" i="4"/>
  <c r="F113" i="4"/>
  <c r="F108" i="4"/>
  <c r="F109" i="4"/>
  <c r="F110" i="4"/>
  <c r="J49" i="4"/>
  <c r="E126" i="4"/>
  <c r="E28" i="4" s="1"/>
  <c r="H170" i="4"/>
  <c r="G49" i="4"/>
  <c r="L126" i="4"/>
  <c r="L28" i="4" s="1"/>
  <c r="F53" i="4"/>
  <c r="D50" i="4"/>
  <c r="I148" i="4"/>
  <c r="K113" i="4"/>
  <c r="K109" i="4"/>
  <c r="K111" i="4"/>
  <c r="K107" i="4"/>
  <c r="K110" i="4"/>
  <c r="K112" i="4"/>
  <c r="K108" i="4"/>
  <c r="J151" i="4"/>
  <c r="E106" i="4"/>
  <c r="L112" i="4"/>
  <c r="L108" i="4"/>
  <c r="L110" i="4"/>
  <c r="L107" i="4"/>
  <c r="L113" i="4"/>
  <c r="L109" i="4"/>
  <c r="L111" i="4"/>
  <c r="E132" i="4"/>
  <c r="J133" i="4"/>
  <c r="G146" i="4"/>
  <c r="G29" i="4" s="1"/>
  <c r="C106" i="4"/>
  <c r="E149" i="4"/>
  <c r="E148" i="4"/>
  <c r="C23" i="4"/>
  <c r="C24" i="4"/>
  <c r="F153" i="4"/>
  <c r="F149" i="4"/>
  <c r="F152" i="4"/>
  <c r="F148" i="4"/>
  <c r="I171" i="4"/>
  <c r="I167" i="4"/>
  <c r="K169" i="4"/>
  <c r="C173" i="4"/>
  <c r="C44" i="4"/>
  <c r="C40" i="4"/>
  <c r="C36" i="4"/>
  <c r="C43" i="4"/>
  <c r="C39" i="4"/>
  <c r="C35" i="4"/>
  <c r="C48" i="4" s="1"/>
  <c r="C42" i="4"/>
  <c r="C38" i="4"/>
  <c r="C41" i="4"/>
  <c r="C37" i="4"/>
  <c r="K147" i="4"/>
  <c r="H153" i="4"/>
  <c r="K132" i="4"/>
  <c r="L51" i="4"/>
  <c r="I51" i="4"/>
  <c r="L130" i="4"/>
  <c r="D127" i="4"/>
  <c r="D128" i="4"/>
  <c r="F49" i="4"/>
  <c r="F47" i="4"/>
  <c r="G47" i="4"/>
  <c r="D53" i="4"/>
  <c r="D49" i="4"/>
  <c r="D52" i="4"/>
  <c r="E171" i="4"/>
  <c r="E167" i="4"/>
  <c r="C170" i="4"/>
  <c r="L150" i="4"/>
  <c r="L146" i="4"/>
  <c r="L29" i="4" s="1"/>
  <c r="L149" i="4"/>
  <c r="L145" i="4"/>
  <c r="L151" i="4"/>
  <c r="D23" i="4"/>
  <c r="D24" i="4"/>
  <c r="C169" i="4"/>
  <c r="F105" i="4"/>
  <c r="L172" i="4"/>
  <c r="L171" i="4"/>
  <c r="D132" i="4"/>
  <c r="D152" i="4"/>
  <c r="H169" i="4"/>
  <c r="J171" i="4"/>
  <c r="F133" i="4"/>
  <c r="E169" i="4"/>
  <c r="E153" i="4"/>
  <c r="D169" i="4"/>
  <c r="D171" i="4"/>
  <c r="K150" i="4"/>
  <c r="G150" i="4"/>
  <c r="C105" i="4"/>
  <c r="J150" i="4"/>
  <c r="F132" i="4"/>
  <c r="F131" i="4"/>
  <c r="L153" i="4"/>
  <c r="G52" i="4"/>
  <c r="H149" i="4"/>
  <c r="K127" i="4"/>
  <c r="C131" i="4"/>
  <c r="F169" i="4"/>
  <c r="J52" i="4"/>
  <c r="L127" i="4"/>
  <c r="D131" i="4"/>
  <c r="H49" i="4"/>
  <c r="H148" i="4"/>
  <c r="H24" i="4"/>
  <c r="H23" i="4"/>
  <c r="E168" i="4"/>
  <c r="K151" i="4"/>
  <c r="J152" i="4"/>
  <c r="G129" i="4"/>
  <c r="K148" i="4"/>
  <c r="K146" i="4"/>
  <c r="K29" i="4" s="1"/>
  <c r="J91" i="4"/>
  <c r="J90" i="4"/>
  <c r="J92" i="4"/>
  <c r="J93" i="4"/>
  <c r="J89" i="4"/>
  <c r="J88" i="4"/>
  <c r="J87" i="4"/>
  <c r="G148" i="4"/>
  <c r="F147" i="4"/>
  <c r="E43" i="4"/>
  <c r="E39" i="4"/>
  <c r="E35" i="4"/>
  <c r="E45" i="4" s="1"/>
  <c r="E42" i="4"/>
  <c r="E38" i="4"/>
  <c r="E41" i="4"/>
  <c r="E37" i="4"/>
  <c r="E40" i="4"/>
  <c r="E36" i="4"/>
  <c r="E53" i="4"/>
  <c r="E44" i="4"/>
  <c r="F128" i="4"/>
  <c r="C172" i="4"/>
  <c r="C150" i="4"/>
  <c r="I85" i="4"/>
  <c r="I86" i="4"/>
  <c r="G48" i="4"/>
  <c r="H133" i="4"/>
  <c r="K131" i="4"/>
  <c r="G152" i="4"/>
  <c r="J53" i="4"/>
  <c r="L131" i="4"/>
  <c r="D125" i="4"/>
  <c r="D47" i="4"/>
  <c r="F52" i="4"/>
  <c r="I127" i="4"/>
  <c r="I129" i="4"/>
  <c r="K44" i="4"/>
  <c r="K40" i="4"/>
  <c r="K36" i="4"/>
  <c r="K43" i="4"/>
  <c r="K39" i="4"/>
  <c r="K35" i="4"/>
  <c r="K47" i="4" s="1"/>
  <c r="K42" i="4"/>
  <c r="K38" i="4"/>
  <c r="K37" i="4"/>
  <c r="K41" i="4"/>
  <c r="D148" i="4"/>
  <c r="J113" i="4"/>
  <c r="J109" i="4"/>
  <c r="J111" i="4"/>
  <c r="J112" i="4"/>
  <c r="J110" i="4"/>
  <c r="J108" i="4"/>
  <c r="J107" i="4"/>
  <c r="G46" i="4"/>
  <c r="G26" i="4" s="1"/>
  <c r="L93" i="4"/>
  <c r="L89" i="4"/>
  <c r="L91" i="4"/>
  <c r="L92" i="4"/>
  <c r="L88" i="4"/>
  <c r="L87" i="4"/>
  <c r="L90" i="4"/>
  <c r="D149" i="4"/>
  <c r="L129" i="4"/>
  <c r="G50" i="4"/>
  <c r="I23" i="4"/>
  <c r="I24" i="4"/>
  <c r="I126" i="4"/>
  <c r="I28" i="4" s="1"/>
  <c r="I153" i="4"/>
  <c r="I149" i="4"/>
  <c r="I147" i="4"/>
  <c r="L148" i="4"/>
  <c r="J23" i="4"/>
  <c r="J24" i="4"/>
  <c r="E173" i="4"/>
  <c r="I132" i="4"/>
  <c r="H130" i="4"/>
  <c r="D172" i="4"/>
  <c r="L152" i="4"/>
  <c r="J153" i="4"/>
  <c r="J168" i="4"/>
  <c r="J132" i="4"/>
  <c r="G151" i="4"/>
  <c r="F146" i="4"/>
  <c r="F29" i="4" s="1"/>
  <c r="F151" i="4"/>
  <c r="C167" i="4"/>
  <c r="C132" i="4"/>
  <c r="H129" i="4"/>
  <c r="K125" i="4"/>
  <c r="C129" i="4"/>
  <c r="L49" i="4"/>
  <c r="L45" i="4"/>
  <c r="L52" i="4"/>
  <c r="I46" i="4"/>
  <c r="I26" i="4" s="1"/>
  <c r="I48" i="4"/>
  <c r="J51" i="4"/>
  <c r="L133" i="4"/>
  <c r="L128" i="4"/>
  <c r="D130" i="4"/>
  <c r="H92" i="4"/>
  <c r="H91" i="4"/>
  <c r="H87" i="4"/>
  <c r="H88" i="4"/>
  <c r="H90" i="4"/>
  <c r="H89" i="4"/>
  <c r="H93" i="4"/>
  <c r="H53" i="4"/>
  <c r="F46" i="4"/>
  <c r="F26" i="4" s="1"/>
  <c r="G86" i="4"/>
  <c r="D51" i="4"/>
  <c r="G51" i="4"/>
  <c r="E131" i="4"/>
  <c r="E133" i="4"/>
  <c r="E129" i="4"/>
  <c r="C168" i="4"/>
  <c r="K91" i="4"/>
  <c r="K87" i="4"/>
  <c r="K92" i="4"/>
  <c r="K93" i="4"/>
  <c r="K90" i="4"/>
  <c r="K89" i="4"/>
  <c r="K88" i="4"/>
  <c r="L147" i="4"/>
  <c r="D112" i="4"/>
  <c r="D108" i="4"/>
  <c r="D107" i="4"/>
  <c r="D113" i="4"/>
  <c r="D109" i="4"/>
  <c r="D111" i="4"/>
  <c r="D110" i="4"/>
  <c r="F24" i="4"/>
  <c r="F23" i="4"/>
  <c r="J48" i="4"/>
  <c r="E128" i="4"/>
  <c r="L24" i="4"/>
  <c r="L23" i="4"/>
  <c r="K172" i="4"/>
  <c r="K168" i="4"/>
  <c r="E130" i="4"/>
  <c r="D151" i="4"/>
  <c r="D147" i="4"/>
  <c r="D145" i="4"/>
  <c r="D150" i="4"/>
  <c r="C146" i="4"/>
  <c r="C29" i="4" s="1"/>
  <c r="C152" i="4"/>
  <c r="C148" i="4"/>
  <c r="C149" i="4"/>
  <c r="G128" i="4"/>
  <c r="G130" i="4"/>
  <c r="H172" i="4"/>
  <c r="H168" i="4"/>
  <c r="H171" i="4"/>
  <c r="H167" i="4"/>
  <c r="I133" i="4"/>
  <c r="G24" i="4"/>
  <c r="G23" i="4"/>
  <c r="D170" i="4"/>
  <c r="L169" i="4"/>
  <c r="K130" i="4"/>
  <c r="J131" i="4"/>
  <c r="D93" i="4"/>
  <c r="D89" i="4"/>
  <c r="D88" i="4"/>
  <c r="D87" i="4"/>
  <c r="D90" i="4"/>
  <c r="D91" i="4"/>
  <c r="D92" i="4"/>
  <c r="F150" i="4"/>
  <c r="J130" i="4"/>
  <c r="I131" i="4"/>
  <c r="K167" i="4"/>
  <c r="C130" i="4"/>
  <c r="H106" i="4"/>
  <c r="L53" i="4"/>
  <c r="I52" i="4"/>
  <c r="J47" i="4"/>
  <c r="L125" i="4"/>
  <c r="H48" i="4"/>
  <c r="J50" i="4"/>
  <c r="N108" i="2"/>
  <c r="N107" i="2"/>
  <c r="N106" i="2"/>
  <c r="N109" i="2"/>
  <c r="E46" i="4" l="1"/>
  <c r="E26" i="4" s="1"/>
  <c r="K45" i="4"/>
  <c r="E49" i="4"/>
  <c r="K51" i="4"/>
  <c r="E47" i="4"/>
  <c r="K52" i="4"/>
  <c r="E51" i="4"/>
  <c r="K46" i="4"/>
  <c r="K26" i="4" s="1"/>
  <c r="K30" i="4" s="1"/>
  <c r="C45" i="4"/>
  <c r="I92" i="4"/>
  <c r="I88" i="4"/>
  <c r="I90" i="4"/>
  <c r="I89" i="4"/>
  <c r="I91" i="4"/>
  <c r="I93" i="4"/>
  <c r="I87" i="4"/>
  <c r="K50" i="4"/>
  <c r="E48" i="4"/>
  <c r="C49" i="4"/>
  <c r="C53" i="4"/>
  <c r="E112" i="4"/>
  <c r="E108" i="4"/>
  <c r="E110" i="4"/>
  <c r="E109" i="4"/>
  <c r="E113" i="4"/>
  <c r="E111" i="4"/>
  <c r="E107" i="4"/>
  <c r="K48" i="4"/>
  <c r="E52" i="4"/>
  <c r="E50" i="4"/>
  <c r="C47" i="4"/>
  <c r="H27" i="4"/>
  <c r="H30" i="4" s="1"/>
  <c r="L27" i="4"/>
  <c r="L30" i="4" s="1"/>
  <c r="C52" i="4"/>
  <c r="H110" i="4"/>
  <c r="H113" i="4"/>
  <c r="H109" i="4"/>
  <c r="H111" i="4"/>
  <c r="H107" i="4"/>
  <c r="H112" i="4"/>
  <c r="H108" i="4"/>
  <c r="G93" i="4"/>
  <c r="G89" i="4"/>
  <c r="G87" i="4"/>
  <c r="G88" i="4"/>
  <c r="G91" i="4"/>
  <c r="G90" i="4"/>
  <c r="G92" i="4"/>
  <c r="K49" i="4"/>
  <c r="C27" i="4"/>
  <c r="G27" i="4"/>
  <c r="G30" i="4" s="1"/>
  <c r="F27" i="4"/>
  <c r="F30" i="4"/>
  <c r="K53" i="4"/>
  <c r="J27" i="4"/>
  <c r="J30" i="4"/>
  <c r="D27" i="4"/>
  <c r="D30" i="4" s="1"/>
  <c r="C51" i="4"/>
  <c r="C46" i="4"/>
  <c r="C26" i="4" s="1"/>
  <c r="I27" i="4"/>
  <c r="I30" i="4"/>
  <c r="C50" i="4"/>
  <c r="C113" i="4"/>
  <c r="C109" i="4"/>
  <c r="C111" i="4"/>
  <c r="C107" i="4"/>
  <c r="C112" i="4"/>
  <c r="C110" i="4"/>
  <c r="C108" i="4"/>
  <c r="E27" i="4"/>
  <c r="E30" i="4" s="1"/>
  <c r="C30" i="4" l="1"/>
  <c r="C31" i="4" s="1"/>
  <c r="C32" i="4"/>
  <c r="E32" i="4"/>
  <c r="E31" i="4"/>
  <c r="D31" i="4"/>
  <c r="D32" i="4"/>
  <c r="I31" i="4"/>
  <c r="I32" i="4"/>
  <c r="L31" i="4"/>
  <c r="L32" i="4"/>
  <c r="F31" i="4"/>
  <c r="F32" i="4"/>
  <c r="H32" i="4"/>
  <c r="H31" i="4"/>
  <c r="G32" i="4"/>
  <c r="G31" i="4"/>
  <c r="J31" i="4"/>
  <c r="J32" i="4"/>
  <c r="K31" i="4"/>
  <c r="K32" i="4"/>
  <c r="C68" i="2"/>
  <c r="C85" i="2" l="1"/>
  <c r="O23" i="2" l="1"/>
  <c r="L39" i="2" l="1"/>
  <c r="L40" i="2" s="1"/>
  <c r="L38" i="2"/>
  <c r="L41" i="2"/>
  <c r="C38" i="2"/>
  <c r="D38" i="2"/>
  <c r="M38" i="2"/>
  <c r="E38" i="2"/>
  <c r="F38" i="2"/>
  <c r="G38" i="2"/>
  <c r="H38" i="2"/>
  <c r="J38" i="2"/>
  <c r="I38" i="2"/>
  <c r="K38" i="2"/>
  <c r="C39" i="2"/>
  <c r="E39" i="2"/>
  <c r="F39" i="2"/>
  <c r="G39" i="2"/>
  <c r="H39" i="2"/>
  <c r="J39" i="2"/>
  <c r="J40" i="2" s="1"/>
  <c r="I39" i="2"/>
  <c r="K39" i="2"/>
  <c r="D39" i="2"/>
  <c r="M39" i="2"/>
  <c r="F41" i="2"/>
  <c r="C41" i="2"/>
  <c r="D41" i="2"/>
  <c r="I41" i="2"/>
  <c r="G41" i="2"/>
  <c r="J41" i="2"/>
  <c r="M41" i="2"/>
  <c r="H41" i="2"/>
  <c r="K41" i="2"/>
  <c r="E41" i="2"/>
  <c r="L44" i="2" l="1"/>
  <c r="L43" i="2"/>
  <c r="H40" i="2"/>
  <c r="G40" i="2"/>
  <c r="K40" i="2"/>
  <c r="F40" i="2"/>
  <c r="M40" i="2"/>
  <c r="C40" i="2"/>
  <c r="I40" i="2"/>
  <c r="E40" i="2"/>
  <c r="D40" i="2"/>
  <c r="L32" i="2" l="1"/>
  <c r="L24" i="2" s="1"/>
  <c r="L26" i="2" s="1"/>
  <c r="D105" i="2"/>
  <c r="E105" i="2"/>
  <c r="F105" i="2"/>
  <c r="G105" i="2"/>
  <c r="H105" i="2"/>
  <c r="I105" i="2"/>
  <c r="J105" i="2"/>
  <c r="K105" i="2"/>
  <c r="M105" i="2"/>
  <c r="C105" i="2"/>
  <c r="C115" i="2" s="1"/>
  <c r="D68" i="2"/>
  <c r="E68" i="2"/>
  <c r="F68" i="2"/>
  <c r="G68" i="2"/>
  <c r="H68" i="2"/>
  <c r="I68" i="2"/>
  <c r="J68" i="2"/>
  <c r="K68" i="2"/>
  <c r="M68" i="2"/>
  <c r="L25" i="2" l="1"/>
  <c r="D85" i="2"/>
  <c r="E85" i="2"/>
  <c r="F85" i="2"/>
  <c r="G85" i="2"/>
  <c r="H85" i="2"/>
  <c r="I85" i="2"/>
  <c r="J85" i="2"/>
  <c r="K85" i="2"/>
  <c r="M85" i="2"/>
  <c r="C86" i="2" l="1"/>
  <c r="D145" i="2" l="1"/>
  <c r="D156" i="2" s="1"/>
  <c r="E145" i="2"/>
  <c r="E156" i="2" s="1"/>
  <c r="F145" i="2"/>
  <c r="F156" i="2" s="1"/>
  <c r="G145" i="2"/>
  <c r="G156" i="2" s="1"/>
  <c r="H145" i="2"/>
  <c r="H156" i="2" s="1"/>
  <c r="I145" i="2"/>
  <c r="I156" i="2" s="1"/>
  <c r="J145" i="2"/>
  <c r="J156" i="2" s="1"/>
  <c r="K145" i="2"/>
  <c r="K156" i="2" s="1"/>
  <c r="M145" i="2"/>
  <c r="M156" i="2" s="1"/>
  <c r="C145" i="2"/>
  <c r="C156" i="2" s="1"/>
  <c r="J147" i="2" l="1"/>
  <c r="J157" i="2" s="1"/>
  <c r="J155" i="2"/>
  <c r="J165" i="2" s="1"/>
  <c r="J148" i="2"/>
  <c r="J158" i="2" s="1"/>
  <c r="J149" i="2"/>
  <c r="J159" i="2" s="1"/>
  <c r="J150" i="2"/>
  <c r="J160" i="2" s="1"/>
  <c r="J154" i="2"/>
  <c r="J164" i="2" s="1"/>
  <c r="J151" i="2"/>
  <c r="J161" i="2" s="1"/>
  <c r="J152" i="2"/>
  <c r="J162" i="2" s="1"/>
  <c r="J153" i="2"/>
  <c r="J163" i="2" s="1"/>
  <c r="H149" i="2"/>
  <c r="H159" i="2" s="1"/>
  <c r="H150" i="2"/>
  <c r="H160" i="2" s="1"/>
  <c r="H151" i="2"/>
  <c r="H161" i="2" s="1"/>
  <c r="H152" i="2"/>
  <c r="H162" i="2" s="1"/>
  <c r="H148" i="2"/>
  <c r="H158" i="2" s="1"/>
  <c r="H153" i="2"/>
  <c r="H163" i="2" s="1"/>
  <c r="H154" i="2"/>
  <c r="H164" i="2" s="1"/>
  <c r="H147" i="2"/>
  <c r="H157" i="2" s="1"/>
  <c r="H155" i="2"/>
  <c r="H165" i="2" s="1"/>
  <c r="I148" i="2"/>
  <c r="I158" i="2" s="1"/>
  <c r="I149" i="2"/>
  <c r="I159" i="2" s="1"/>
  <c r="I150" i="2"/>
  <c r="I160" i="2" s="1"/>
  <c r="I151" i="2"/>
  <c r="I161" i="2" s="1"/>
  <c r="I147" i="2"/>
  <c r="I157" i="2" s="1"/>
  <c r="I152" i="2"/>
  <c r="I162" i="2" s="1"/>
  <c r="I153" i="2"/>
  <c r="I163" i="2" s="1"/>
  <c r="I155" i="2"/>
  <c r="I165" i="2" s="1"/>
  <c r="I154" i="2"/>
  <c r="I164" i="2" s="1"/>
  <c r="F151" i="2"/>
  <c r="F161" i="2" s="1"/>
  <c r="F152" i="2"/>
  <c r="F162" i="2" s="1"/>
  <c r="F153" i="2"/>
  <c r="F163" i="2" s="1"/>
  <c r="F154" i="2"/>
  <c r="F164" i="2" s="1"/>
  <c r="F150" i="2"/>
  <c r="F160" i="2" s="1"/>
  <c r="F147" i="2"/>
  <c r="F157" i="2" s="1"/>
  <c r="F155" i="2"/>
  <c r="F165" i="2" s="1"/>
  <c r="F148" i="2"/>
  <c r="F158" i="2" s="1"/>
  <c r="F149" i="2"/>
  <c r="F159" i="2" s="1"/>
  <c r="E152" i="2"/>
  <c r="E162" i="2" s="1"/>
  <c r="E153" i="2"/>
  <c r="E163" i="2" s="1"/>
  <c r="E154" i="2"/>
  <c r="E164" i="2" s="1"/>
  <c r="E147" i="2"/>
  <c r="E157" i="2" s="1"/>
  <c r="E155" i="2"/>
  <c r="E165" i="2" s="1"/>
  <c r="E151" i="2"/>
  <c r="E161" i="2" s="1"/>
  <c r="E148" i="2"/>
  <c r="E158" i="2" s="1"/>
  <c r="E149" i="2"/>
  <c r="E159" i="2" s="1"/>
  <c r="E150" i="2"/>
  <c r="E160" i="2" s="1"/>
  <c r="C153" i="2"/>
  <c r="C163" i="2" s="1"/>
  <c r="C154" i="2"/>
  <c r="C164" i="2" s="1"/>
  <c r="C155" i="2"/>
  <c r="C165" i="2" s="1"/>
  <c r="C148" i="2"/>
  <c r="C158" i="2" s="1"/>
  <c r="C147" i="2"/>
  <c r="C157" i="2" s="1"/>
  <c r="C149" i="2"/>
  <c r="C159" i="2" s="1"/>
  <c r="C152" i="2"/>
  <c r="C162" i="2" s="1"/>
  <c r="C150" i="2"/>
  <c r="C160" i="2" s="1"/>
  <c r="C151" i="2"/>
  <c r="C161" i="2" s="1"/>
  <c r="I69" i="2"/>
  <c r="K74" i="2"/>
  <c r="M74" i="2"/>
  <c r="I86" i="2"/>
  <c r="K87" i="2"/>
  <c r="M87" i="2"/>
  <c r="I107" i="2"/>
  <c r="J107" i="2"/>
  <c r="K106" i="2"/>
  <c r="K116" i="2" s="1"/>
  <c r="M106" i="2"/>
  <c r="M116" i="2" s="1"/>
  <c r="I125" i="2"/>
  <c r="J125" i="2"/>
  <c r="J129" i="2" s="1"/>
  <c r="K125" i="2"/>
  <c r="K135" i="2" s="1"/>
  <c r="M125" i="2"/>
  <c r="M127" i="2" s="1"/>
  <c r="C34" i="2" l="1"/>
  <c r="I34" i="2"/>
  <c r="J34" i="2"/>
  <c r="H34" i="2"/>
  <c r="E34" i="2"/>
  <c r="F34" i="2"/>
  <c r="D153" i="2"/>
  <c r="D163" i="2" s="1"/>
  <c r="D154" i="2"/>
  <c r="D164" i="2" s="1"/>
  <c r="D147" i="2"/>
  <c r="D157" i="2" s="1"/>
  <c r="D155" i="2"/>
  <c r="D165" i="2" s="1"/>
  <c r="D148" i="2"/>
  <c r="D158" i="2" s="1"/>
  <c r="D152" i="2"/>
  <c r="D162" i="2" s="1"/>
  <c r="D149" i="2"/>
  <c r="D159" i="2" s="1"/>
  <c r="D150" i="2"/>
  <c r="D160" i="2" s="1"/>
  <c r="D151" i="2"/>
  <c r="D161" i="2" s="1"/>
  <c r="G150" i="2"/>
  <c r="G160" i="2" s="1"/>
  <c r="G151" i="2"/>
  <c r="G161" i="2" s="1"/>
  <c r="G152" i="2"/>
  <c r="G162" i="2" s="1"/>
  <c r="G153" i="2"/>
  <c r="G163" i="2" s="1"/>
  <c r="G149" i="2"/>
  <c r="G159" i="2" s="1"/>
  <c r="G154" i="2"/>
  <c r="G164" i="2" s="1"/>
  <c r="G147" i="2"/>
  <c r="G157" i="2" s="1"/>
  <c r="G155" i="2"/>
  <c r="G165" i="2" s="1"/>
  <c r="G148" i="2"/>
  <c r="G158" i="2" s="1"/>
  <c r="K154" i="2"/>
  <c r="K164" i="2" s="1"/>
  <c r="K147" i="2"/>
  <c r="K157" i="2" s="1"/>
  <c r="K155" i="2"/>
  <c r="K165" i="2" s="1"/>
  <c r="K148" i="2"/>
  <c r="K158" i="2" s="1"/>
  <c r="K149" i="2"/>
  <c r="K159" i="2" s="1"/>
  <c r="K153" i="2"/>
  <c r="K163" i="2" s="1"/>
  <c r="K150" i="2"/>
  <c r="K160" i="2" s="1"/>
  <c r="K151" i="2"/>
  <c r="K161" i="2" s="1"/>
  <c r="K152" i="2"/>
  <c r="K162" i="2" s="1"/>
  <c r="M153" i="2"/>
  <c r="M163" i="2" s="1"/>
  <c r="M154" i="2"/>
  <c r="M164" i="2" s="1"/>
  <c r="M147" i="2"/>
  <c r="M157" i="2" s="1"/>
  <c r="M155" i="2"/>
  <c r="M165" i="2" s="1"/>
  <c r="M152" i="2"/>
  <c r="M162" i="2" s="1"/>
  <c r="M148" i="2"/>
  <c r="M158" i="2" s="1"/>
  <c r="M149" i="2"/>
  <c r="M159" i="2" s="1"/>
  <c r="M150" i="2"/>
  <c r="M160" i="2" s="1"/>
  <c r="M151" i="2"/>
  <c r="M161" i="2" s="1"/>
  <c r="M115" i="2"/>
  <c r="M107" i="2"/>
  <c r="M117" i="2" s="1"/>
  <c r="M70" i="2"/>
  <c r="M135" i="2"/>
  <c r="M133" i="2"/>
  <c r="M131" i="2"/>
  <c r="M129" i="2"/>
  <c r="K72" i="2"/>
  <c r="K115" i="2"/>
  <c r="K70" i="2"/>
  <c r="K107" i="2"/>
  <c r="K117" i="2" s="1"/>
  <c r="J133" i="2"/>
  <c r="J131" i="2"/>
  <c r="J130" i="2"/>
  <c r="J128" i="2"/>
  <c r="J135" i="2"/>
  <c r="J134" i="2"/>
  <c r="J126" i="2"/>
  <c r="J136" i="2" s="1"/>
  <c r="J106" i="2"/>
  <c r="J116" i="2" s="1"/>
  <c r="J115" i="2"/>
  <c r="I72" i="2"/>
  <c r="I74" i="2"/>
  <c r="I115" i="2"/>
  <c r="I106" i="2"/>
  <c r="I116" i="2" s="1"/>
  <c r="J127" i="2"/>
  <c r="I126" i="2"/>
  <c r="I128" i="2"/>
  <c r="I130" i="2"/>
  <c r="I132" i="2"/>
  <c r="I134" i="2"/>
  <c r="J95" i="2"/>
  <c r="J86" i="2"/>
  <c r="J78" i="2"/>
  <c r="J79" i="2" s="1"/>
  <c r="J80" i="2" s="1"/>
  <c r="J81" i="2" s="1"/>
  <c r="J82" i="2" s="1"/>
  <c r="J83" i="2" s="1"/>
  <c r="J69" i="2"/>
  <c r="J71" i="2"/>
  <c r="J73" i="2"/>
  <c r="I131" i="2"/>
  <c r="K127" i="2"/>
  <c r="J72" i="2"/>
  <c r="K133" i="2"/>
  <c r="I127" i="2"/>
  <c r="I133" i="2"/>
  <c r="K129" i="2"/>
  <c r="J132" i="2"/>
  <c r="M126" i="2"/>
  <c r="M128" i="2"/>
  <c r="M130" i="2"/>
  <c r="M132" i="2"/>
  <c r="M134" i="2"/>
  <c r="J87" i="2"/>
  <c r="J74" i="2"/>
  <c r="J70" i="2"/>
  <c r="I129" i="2"/>
  <c r="K126" i="2"/>
  <c r="K128" i="2"/>
  <c r="K130" i="2"/>
  <c r="K132" i="2"/>
  <c r="K134" i="2"/>
  <c r="M86" i="2"/>
  <c r="M96" i="2" s="1"/>
  <c r="M43" i="2" s="1"/>
  <c r="M95" i="2"/>
  <c r="M69" i="2"/>
  <c r="M71" i="2"/>
  <c r="M73" i="2"/>
  <c r="M78" i="2"/>
  <c r="M79" i="2" s="1"/>
  <c r="M80" i="2" s="1"/>
  <c r="M81" i="2" s="1"/>
  <c r="M82" i="2" s="1"/>
  <c r="M83" i="2" s="1"/>
  <c r="I135" i="2"/>
  <c r="K131" i="2"/>
  <c r="K86" i="2"/>
  <c r="K96" i="2" s="1"/>
  <c r="K95" i="2"/>
  <c r="M72" i="2"/>
  <c r="K69" i="2"/>
  <c r="K71" i="2"/>
  <c r="K73" i="2"/>
  <c r="K78" i="2"/>
  <c r="K79" i="2" s="1"/>
  <c r="K80" i="2" s="1"/>
  <c r="K81" i="2" s="1"/>
  <c r="K82" i="2" s="1"/>
  <c r="K83" i="2" s="1"/>
  <c r="I96" i="2"/>
  <c r="I87" i="2"/>
  <c r="I97" i="2" s="1"/>
  <c r="I43" i="2" s="1"/>
  <c r="I70" i="2"/>
  <c r="I95" i="2"/>
  <c r="I78" i="2"/>
  <c r="I79" i="2" s="1"/>
  <c r="I80" i="2" s="1"/>
  <c r="I81" i="2" s="1"/>
  <c r="I82" i="2" s="1"/>
  <c r="I83" i="2" s="1"/>
  <c r="I84" i="2" s="1"/>
  <c r="I42" i="2" s="1"/>
  <c r="I73" i="2"/>
  <c r="I71" i="2"/>
  <c r="K84" i="2" l="1"/>
  <c r="K42" i="2" s="1"/>
  <c r="J84" i="2"/>
  <c r="J42" i="2" s="1"/>
  <c r="M84" i="2"/>
  <c r="M42" i="2" s="1"/>
  <c r="D34" i="2"/>
  <c r="M34" i="2"/>
  <c r="K34" i="2"/>
  <c r="G34" i="2"/>
  <c r="K121" i="2"/>
  <c r="J117" i="2"/>
  <c r="J141" i="2"/>
  <c r="J137" i="2"/>
  <c r="J140" i="2"/>
  <c r="J144" i="2"/>
  <c r="J139" i="2"/>
  <c r="J138" i="2"/>
  <c r="I117" i="2"/>
  <c r="I118" i="2" s="1"/>
  <c r="K120" i="2"/>
  <c r="K119" i="2"/>
  <c r="K118" i="2"/>
  <c r="K123" i="2"/>
  <c r="K124" i="2"/>
  <c r="K44" i="2" s="1"/>
  <c r="K122" i="2"/>
  <c r="M144" i="2"/>
  <c r="I144" i="2"/>
  <c r="I142" i="2"/>
  <c r="K142" i="2"/>
  <c r="J97" i="2"/>
  <c r="J43" i="2" s="1"/>
  <c r="K138" i="2"/>
  <c r="M142" i="2"/>
  <c r="I99" i="2"/>
  <c r="I101" i="2"/>
  <c r="I103" i="2"/>
  <c r="I98" i="2"/>
  <c r="I102" i="2"/>
  <c r="I100" i="2"/>
  <c r="I104" i="2"/>
  <c r="I141" i="2"/>
  <c r="K97" i="2"/>
  <c r="K43" i="2" s="1"/>
  <c r="K144" i="2"/>
  <c r="I140" i="2"/>
  <c r="M137" i="2"/>
  <c r="M143" i="2"/>
  <c r="M141" i="2"/>
  <c r="M139" i="2"/>
  <c r="K140" i="2"/>
  <c r="M140" i="2"/>
  <c r="I137" i="2"/>
  <c r="M118" i="2"/>
  <c r="M120" i="2"/>
  <c r="M122" i="2"/>
  <c r="M124" i="2"/>
  <c r="M121" i="2"/>
  <c r="M119" i="2"/>
  <c r="M123" i="2"/>
  <c r="M44" i="2" s="1"/>
  <c r="M32" i="2" s="1"/>
  <c r="I136" i="2"/>
  <c r="M138" i="2"/>
  <c r="I139" i="2"/>
  <c r="J96" i="2"/>
  <c r="J143" i="2"/>
  <c r="J142" i="2"/>
  <c r="K141" i="2"/>
  <c r="K139" i="2"/>
  <c r="K137" i="2"/>
  <c r="K33" i="2" s="1"/>
  <c r="I143" i="2"/>
  <c r="I138" i="2"/>
  <c r="K136" i="2"/>
  <c r="M136" i="2"/>
  <c r="M97" i="2"/>
  <c r="K143" i="2"/>
  <c r="D70" i="2"/>
  <c r="E73" i="2"/>
  <c r="F78" i="2"/>
  <c r="F79" i="2" s="1"/>
  <c r="F80" i="2" s="1"/>
  <c r="G74" i="2"/>
  <c r="H69" i="2"/>
  <c r="E86" i="2"/>
  <c r="F87" i="2"/>
  <c r="G86" i="2"/>
  <c r="H95" i="2"/>
  <c r="D107" i="2"/>
  <c r="E107" i="2"/>
  <c r="F106" i="2"/>
  <c r="G115" i="2"/>
  <c r="H115" i="2"/>
  <c r="D125" i="2"/>
  <c r="D127" i="2" s="1"/>
  <c r="E125" i="2"/>
  <c r="E130" i="2" s="1"/>
  <c r="G125" i="2"/>
  <c r="G131" i="2" s="1"/>
  <c r="H125" i="2"/>
  <c r="H126" i="2" s="1"/>
  <c r="C87" i="2"/>
  <c r="C78" i="2"/>
  <c r="C79" i="2" s="1"/>
  <c r="C106" i="2"/>
  <c r="Y16" i="2"/>
  <c r="C45" i="2" s="1"/>
  <c r="C125" i="2"/>
  <c r="C135" i="2" s="1"/>
  <c r="F125" i="2"/>
  <c r="K32" i="2" l="1"/>
  <c r="J33" i="2"/>
  <c r="I33" i="2"/>
  <c r="M33" i="2"/>
  <c r="J121" i="2"/>
  <c r="C80" i="2"/>
  <c r="C81" i="2" s="1"/>
  <c r="J118" i="2"/>
  <c r="J122" i="2"/>
  <c r="J119" i="2"/>
  <c r="J124" i="2"/>
  <c r="J44" i="2" s="1"/>
  <c r="J32" i="2" s="1"/>
  <c r="J120" i="2"/>
  <c r="J123" i="2"/>
  <c r="C55" i="2"/>
  <c r="J100" i="2"/>
  <c r="F81" i="2"/>
  <c r="F82" i="2" s="1"/>
  <c r="F83" i="2" s="1"/>
  <c r="F84" i="2" s="1"/>
  <c r="F42" i="2" s="1"/>
  <c r="I119" i="2"/>
  <c r="I121" i="2"/>
  <c r="I124" i="2"/>
  <c r="I122" i="2"/>
  <c r="I123" i="2"/>
  <c r="I120" i="2"/>
  <c r="C70" i="2"/>
  <c r="E132" i="2"/>
  <c r="G133" i="2"/>
  <c r="J99" i="2"/>
  <c r="J102" i="2"/>
  <c r="J104" i="2"/>
  <c r="J103" i="2"/>
  <c r="J101" i="2"/>
  <c r="J98" i="2"/>
  <c r="C50" i="2"/>
  <c r="I45" i="2"/>
  <c r="J45" i="2"/>
  <c r="K45" i="2"/>
  <c r="M45" i="2"/>
  <c r="M99" i="2"/>
  <c r="M101" i="2"/>
  <c r="M103" i="2"/>
  <c r="M104" i="2"/>
  <c r="M98" i="2"/>
  <c r="M102" i="2"/>
  <c r="M100" i="2"/>
  <c r="K99" i="2"/>
  <c r="K101" i="2"/>
  <c r="K103" i="2"/>
  <c r="K104" i="2"/>
  <c r="K98" i="2"/>
  <c r="K102" i="2"/>
  <c r="K100" i="2"/>
  <c r="D78" i="2"/>
  <c r="D79" i="2" s="1"/>
  <c r="D133" i="2"/>
  <c r="D130" i="2"/>
  <c r="F74" i="2"/>
  <c r="C72" i="2"/>
  <c r="H87" i="2"/>
  <c r="D73" i="2"/>
  <c r="D128" i="2"/>
  <c r="C131" i="2"/>
  <c r="H86" i="2"/>
  <c r="H96" i="2" s="1"/>
  <c r="D71" i="2"/>
  <c r="E95" i="2"/>
  <c r="F107" i="2"/>
  <c r="F117" i="2" s="1"/>
  <c r="F120" i="2" s="1"/>
  <c r="G106" i="2"/>
  <c r="G116" i="2" s="1"/>
  <c r="E87" i="2"/>
  <c r="E97" i="2" s="1"/>
  <c r="F132" i="2"/>
  <c r="F134" i="2"/>
  <c r="F131" i="2"/>
  <c r="C128" i="2"/>
  <c r="F72" i="2"/>
  <c r="D132" i="2"/>
  <c r="C130" i="2"/>
  <c r="D131" i="2"/>
  <c r="F71" i="2"/>
  <c r="D129" i="2"/>
  <c r="H70" i="2"/>
  <c r="H128" i="2"/>
  <c r="E96" i="2"/>
  <c r="F70" i="2"/>
  <c r="H45" i="2"/>
  <c r="H49" i="2" s="1"/>
  <c r="E115" i="2"/>
  <c r="C71" i="2"/>
  <c r="C107" i="2"/>
  <c r="C117" i="2" s="1"/>
  <c r="C129" i="2"/>
  <c r="E134" i="2"/>
  <c r="F128" i="2"/>
  <c r="G107" i="2"/>
  <c r="G87" i="2"/>
  <c r="G97" i="2" s="1"/>
  <c r="C95" i="2"/>
  <c r="H133" i="2"/>
  <c r="C73" i="2"/>
  <c r="C116" i="2"/>
  <c r="H127" i="2"/>
  <c r="C74" i="2"/>
  <c r="C132" i="2"/>
  <c r="H135" i="2"/>
  <c r="F133" i="2"/>
  <c r="F130" i="2"/>
  <c r="F127" i="2"/>
  <c r="F73" i="2"/>
  <c r="F69" i="2"/>
  <c r="G45" i="2"/>
  <c r="G50" i="2" s="1"/>
  <c r="H78" i="2"/>
  <c r="H79" i="2" s="1"/>
  <c r="H80" i="2" s="1"/>
  <c r="H81" i="2" s="1"/>
  <c r="H82" i="2" s="1"/>
  <c r="H83" i="2" s="1"/>
  <c r="H84" i="2" s="1"/>
  <c r="H42" i="2" s="1"/>
  <c r="C133" i="2"/>
  <c r="F135" i="2"/>
  <c r="E133" i="2"/>
  <c r="E127" i="2"/>
  <c r="F45" i="2"/>
  <c r="F48" i="2" s="1"/>
  <c r="G78" i="2"/>
  <c r="G79" i="2" s="1"/>
  <c r="G80" i="2" s="1"/>
  <c r="C126" i="2"/>
  <c r="C134" i="2"/>
  <c r="E135" i="2"/>
  <c r="F129" i="2"/>
  <c r="F126" i="2"/>
  <c r="F136" i="2" s="1"/>
  <c r="F95" i="2"/>
  <c r="E45" i="2"/>
  <c r="E54" i="2" s="1"/>
  <c r="C69" i="2"/>
  <c r="C127" i="2"/>
  <c r="H134" i="2"/>
  <c r="E126" i="2"/>
  <c r="E136" i="2" s="1"/>
  <c r="H71" i="2"/>
  <c r="D45" i="2"/>
  <c r="D54" i="2" s="1"/>
  <c r="E78" i="2"/>
  <c r="E79" i="2" s="1"/>
  <c r="E80" i="2" s="1"/>
  <c r="D72" i="2"/>
  <c r="D106" i="2"/>
  <c r="D116" i="2" s="1"/>
  <c r="D115" i="2"/>
  <c r="D74" i="2"/>
  <c r="E69" i="2"/>
  <c r="E70" i="2"/>
  <c r="H136" i="2"/>
  <c r="G134" i="2"/>
  <c r="H129" i="2"/>
  <c r="E128" i="2"/>
  <c r="G126" i="2"/>
  <c r="F115" i="2"/>
  <c r="H106" i="2"/>
  <c r="G95" i="2"/>
  <c r="D87" i="2"/>
  <c r="H72" i="2"/>
  <c r="E71" i="2"/>
  <c r="G69" i="2"/>
  <c r="H132" i="2"/>
  <c r="E131" i="2"/>
  <c r="G129" i="2"/>
  <c r="E74" i="2"/>
  <c r="G72" i="2"/>
  <c r="G132" i="2"/>
  <c r="G135" i="2"/>
  <c r="D134" i="2"/>
  <c r="H130" i="2"/>
  <c r="E129" i="2"/>
  <c r="G127" i="2"/>
  <c r="D126" i="2"/>
  <c r="F116" i="2"/>
  <c r="H107" i="2"/>
  <c r="E106" i="2"/>
  <c r="G96" i="2"/>
  <c r="D95" i="2"/>
  <c r="F86" i="2"/>
  <c r="H73" i="2"/>
  <c r="E72" i="2"/>
  <c r="G70" i="2"/>
  <c r="D69" i="2"/>
  <c r="G130" i="2"/>
  <c r="G73" i="2"/>
  <c r="D86" i="2"/>
  <c r="D96" i="2" s="1"/>
  <c r="D135" i="2"/>
  <c r="H131" i="2"/>
  <c r="G128" i="2"/>
  <c r="H74" i="2"/>
  <c r="G71" i="2"/>
  <c r="G43" i="2" l="1"/>
  <c r="I44" i="2"/>
  <c r="I32" i="2" s="1"/>
  <c r="E43" i="2"/>
  <c r="C82" i="2"/>
  <c r="C83" i="2" s="1"/>
  <c r="D80" i="2"/>
  <c r="D81" i="2" s="1"/>
  <c r="G81" i="2"/>
  <c r="G82" i="2" s="1"/>
  <c r="G83" i="2" s="1"/>
  <c r="G84" i="2" s="1"/>
  <c r="G42" i="2" s="1"/>
  <c r="G117" i="2"/>
  <c r="G121" i="2" s="1"/>
  <c r="E81" i="2"/>
  <c r="C51" i="2"/>
  <c r="E137" i="2"/>
  <c r="E104" i="2"/>
  <c r="C54" i="2"/>
  <c r="C47" i="2"/>
  <c r="M46" i="2"/>
  <c r="M56" i="2" s="1"/>
  <c r="M47" i="2"/>
  <c r="M51" i="2"/>
  <c r="M55" i="2"/>
  <c r="M49" i="2"/>
  <c r="M53" i="2"/>
  <c r="M52" i="2"/>
  <c r="M50" i="2"/>
  <c r="M54" i="2"/>
  <c r="M48" i="2"/>
  <c r="C53" i="2"/>
  <c r="C46" i="2"/>
  <c r="K46" i="2"/>
  <c r="K49" i="2"/>
  <c r="K53" i="2"/>
  <c r="K47" i="2"/>
  <c r="K51" i="2"/>
  <c r="K55" i="2"/>
  <c r="K50" i="2"/>
  <c r="K48" i="2"/>
  <c r="K54" i="2"/>
  <c r="K52" i="2"/>
  <c r="C48" i="2"/>
  <c r="J46" i="2"/>
  <c r="J49" i="2"/>
  <c r="J53" i="2"/>
  <c r="J47" i="2"/>
  <c r="J51" i="2"/>
  <c r="J55" i="2"/>
  <c r="J52" i="2"/>
  <c r="J54" i="2"/>
  <c r="J50" i="2"/>
  <c r="J48" i="2"/>
  <c r="C49" i="2"/>
  <c r="C52" i="2"/>
  <c r="I46" i="2"/>
  <c r="I56" i="2" s="1"/>
  <c r="I49" i="2"/>
  <c r="I53" i="2"/>
  <c r="I47" i="2"/>
  <c r="I51" i="2"/>
  <c r="I55" i="2"/>
  <c r="I50" i="2"/>
  <c r="I54" i="2"/>
  <c r="I48" i="2"/>
  <c r="I52" i="2"/>
  <c r="G137" i="2"/>
  <c r="H117" i="2"/>
  <c r="H120" i="2" s="1"/>
  <c r="H139" i="2"/>
  <c r="C144" i="2"/>
  <c r="H97" i="2"/>
  <c r="H43" i="2" s="1"/>
  <c r="F144" i="2"/>
  <c r="D143" i="2"/>
  <c r="C140" i="2"/>
  <c r="F121" i="2"/>
  <c r="G103" i="2"/>
  <c r="G100" i="2"/>
  <c r="G104" i="2"/>
  <c r="G101" i="2"/>
  <c r="G98" i="2"/>
  <c r="H55" i="2"/>
  <c r="C138" i="2"/>
  <c r="C141" i="2"/>
  <c r="E103" i="2"/>
  <c r="F124" i="2"/>
  <c r="F44" i="2" s="1"/>
  <c r="H50" i="2"/>
  <c r="H48" i="2"/>
  <c r="E144" i="2"/>
  <c r="H138" i="2"/>
  <c r="H116" i="2"/>
  <c r="F140" i="2"/>
  <c r="F143" i="2"/>
  <c r="C143" i="2"/>
  <c r="F123" i="2"/>
  <c r="H137" i="2"/>
  <c r="F122" i="2"/>
  <c r="C136" i="2"/>
  <c r="C142" i="2"/>
  <c r="F118" i="2"/>
  <c r="F55" i="2"/>
  <c r="G51" i="2"/>
  <c r="F50" i="2"/>
  <c r="F49" i="2"/>
  <c r="F47" i="2"/>
  <c r="F51" i="2"/>
  <c r="H47" i="2"/>
  <c r="H51" i="2"/>
  <c r="H52" i="2"/>
  <c r="H53" i="2"/>
  <c r="H54" i="2"/>
  <c r="H46" i="2"/>
  <c r="E100" i="2"/>
  <c r="E102" i="2"/>
  <c r="C122" i="2"/>
  <c r="C120" i="2"/>
  <c r="C123" i="2"/>
  <c r="C44" i="2" s="1"/>
  <c r="C119" i="2"/>
  <c r="C124" i="2"/>
  <c r="C118" i="2"/>
  <c r="C121" i="2"/>
  <c r="F139" i="2"/>
  <c r="G99" i="2"/>
  <c r="F119" i="2"/>
  <c r="D117" i="2"/>
  <c r="D118" i="2" s="1"/>
  <c r="G144" i="2"/>
  <c r="E142" i="2"/>
  <c r="G102" i="2"/>
  <c r="H142" i="2"/>
  <c r="G142" i="2"/>
  <c r="C139" i="2"/>
  <c r="C137" i="2"/>
  <c r="C97" i="2"/>
  <c r="C96" i="2"/>
  <c r="F142" i="2"/>
  <c r="D46" i="2"/>
  <c r="D47" i="2"/>
  <c r="D53" i="2"/>
  <c r="D55" i="2"/>
  <c r="D48" i="2"/>
  <c r="E46" i="2"/>
  <c r="E49" i="2"/>
  <c r="E47" i="2"/>
  <c r="E53" i="2"/>
  <c r="E55" i="2"/>
  <c r="E50" i="2"/>
  <c r="E48" i="2"/>
  <c r="E51" i="2"/>
  <c r="E52" i="2"/>
  <c r="G139" i="2"/>
  <c r="G136" i="2"/>
  <c r="D49" i="2"/>
  <c r="H141" i="2"/>
  <c r="H143" i="2"/>
  <c r="D52" i="2"/>
  <c r="F52" i="2"/>
  <c r="F53" i="2"/>
  <c r="F46" i="2"/>
  <c r="F54" i="2"/>
  <c r="D51" i="2"/>
  <c r="D50" i="2"/>
  <c r="F141" i="2"/>
  <c r="F137" i="2"/>
  <c r="G52" i="2"/>
  <c r="G49" i="2"/>
  <c r="G47" i="2"/>
  <c r="G55" i="2"/>
  <c r="G53" i="2"/>
  <c r="G48" i="2"/>
  <c r="G46" i="2"/>
  <c r="G54" i="2"/>
  <c r="F138" i="2"/>
  <c r="D97" i="2"/>
  <c r="D43" i="2" s="1"/>
  <c r="E98" i="2"/>
  <c r="E101" i="2"/>
  <c r="E99" i="2"/>
  <c r="E138" i="2"/>
  <c r="G138" i="2"/>
  <c r="E117" i="2"/>
  <c r="E116" i="2"/>
  <c r="E140" i="2"/>
  <c r="G140" i="2"/>
  <c r="G141" i="2"/>
  <c r="E143" i="2"/>
  <c r="E141" i="2"/>
  <c r="H144" i="2"/>
  <c r="F97" i="2"/>
  <c r="F96" i="2"/>
  <c r="D138" i="2"/>
  <c r="D137" i="2"/>
  <c r="D139" i="2"/>
  <c r="D142" i="2"/>
  <c r="D136" i="2"/>
  <c r="D144" i="2"/>
  <c r="D140" i="2"/>
  <c r="D141" i="2"/>
  <c r="E139" i="2"/>
  <c r="G143" i="2"/>
  <c r="H140" i="2"/>
  <c r="D33" i="2" l="1"/>
  <c r="F33" i="2"/>
  <c r="H33" i="2"/>
  <c r="C84" i="2"/>
  <c r="C42" i="2" s="1"/>
  <c r="G33" i="2"/>
  <c r="E33" i="2"/>
  <c r="F43" i="2"/>
  <c r="F32" i="2" s="1"/>
  <c r="C43" i="2"/>
  <c r="E82" i="2"/>
  <c r="E83" i="2" s="1"/>
  <c r="E84" i="2" s="1"/>
  <c r="E42" i="2" s="1"/>
  <c r="D82" i="2"/>
  <c r="D83" i="2" s="1"/>
  <c r="D84" i="2" s="1"/>
  <c r="D42" i="2" s="1"/>
  <c r="C56" i="2"/>
  <c r="C57" i="2"/>
  <c r="G122" i="2"/>
  <c r="C33" i="2"/>
  <c r="G124" i="2"/>
  <c r="G44" i="2" s="1"/>
  <c r="G32" i="2" s="1"/>
  <c r="G123" i="2"/>
  <c r="G119" i="2"/>
  <c r="G120" i="2"/>
  <c r="G118" i="2"/>
  <c r="H119" i="2"/>
  <c r="H121" i="2"/>
  <c r="H122" i="2"/>
  <c r="D121" i="2"/>
  <c r="M57" i="2"/>
  <c r="J61" i="2"/>
  <c r="I58" i="2"/>
  <c r="K60" i="2"/>
  <c r="K57" i="2"/>
  <c r="C62" i="2"/>
  <c r="D122" i="2"/>
  <c r="D44" i="2" s="1"/>
  <c r="D32" i="2" s="1"/>
  <c r="H123" i="2"/>
  <c r="I62" i="2"/>
  <c r="J56" i="2"/>
  <c r="H118" i="2"/>
  <c r="C59" i="2"/>
  <c r="I57" i="2"/>
  <c r="J64" i="2"/>
  <c r="K64" i="2"/>
  <c r="M58" i="2"/>
  <c r="C58" i="2"/>
  <c r="C64" i="2"/>
  <c r="C63" i="2"/>
  <c r="M60" i="2"/>
  <c r="J62" i="2"/>
  <c r="H124" i="2"/>
  <c r="D103" i="2"/>
  <c r="J59" i="2"/>
  <c r="K58" i="2"/>
  <c r="J60" i="2"/>
  <c r="K63" i="2"/>
  <c r="M64" i="2"/>
  <c r="K61" i="2"/>
  <c r="I64" i="2"/>
  <c r="M63" i="2"/>
  <c r="I59" i="2"/>
  <c r="J63" i="2"/>
  <c r="K56" i="2"/>
  <c r="M61" i="2"/>
  <c r="M62" i="2"/>
  <c r="K62" i="2"/>
  <c r="K59" i="2"/>
  <c r="I60" i="2"/>
  <c r="J57" i="2"/>
  <c r="M59" i="2"/>
  <c r="I61" i="2"/>
  <c r="I63" i="2"/>
  <c r="C60" i="2"/>
  <c r="C61" i="2"/>
  <c r="J58" i="2"/>
  <c r="D119" i="2"/>
  <c r="D124" i="2"/>
  <c r="D123" i="2"/>
  <c r="D120" i="2"/>
  <c r="D60" i="2"/>
  <c r="H103" i="2"/>
  <c r="H101" i="2"/>
  <c r="H102" i="2"/>
  <c r="H99" i="2"/>
  <c r="H104" i="2"/>
  <c r="H100" i="2"/>
  <c r="H98" i="2"/>
  <c r="D57" i="2"/>
  <c r="D63" i="2"/>
  <c r="D58" i="2"/>
  <c r="G64" i="2"/>
  <c r="H56" i="2"/>
  <c r="H64" i="2"/>
  <c r="H61" i="2"/>
  <c r="H60" i="2"/>
  <c r="H63" i="2"/>
  <c r="H58" i="2"/>
  <c r="H57" i="2"/>
  <c r="G63" i="2"/>
  <c r="D62" i="2"/>
  <c r="H59" i="2"/>
  <c r="F61" i="2"/>
  <c r="D56" i="2"/>
  <c r="H62" i="2"/>
  <c r="F64" i="2"/>
  <c r="F59" i="2"/>
  <c r="E57" i="2"/>
  <c r="E62" i="2"/>
  <c r="C100" i="2"/>
  <c r="C99" i="2"/>
  <c r="C98" i="2"/>
  <c r="C104" i="2"/>
  <c r="C103" i="2"/>
  <c r="C102" i="2"/>
  <c r="C101" i="2"/>
  <c r="G59" i="2"/>
  <c r="G62" i="2"/>
  <c r="G58" i="2"/>
  <c r="F58" i="2"/>
  <c r="F57" i="2"/>
  <c r="E58" i="2"/>
  <c r="G60" i="2"/>
  <c r="G57" i="2"/>
  <c r="F60" i="2"/>
  <c r="E60" i="2"/>
  <c r="F62" i="2"/>
  <c r="G56" i="2"/>
  <c r="E63" i="2"/>
  <c r="E59" i="2"/>
  <c r="E61" i="2"/>
  <c r="F63" i="2"/>
  <c r="G61" i="2"/>
  <c r="D64" i="2"/>
  <c r="D61" i="2"/>
  <c r="D59" i="2"/>
  <c r="E64" i="2"/>
  <c r="F56" i="2"/>
  <c r="E56" i="2"/>
  <c r="D98" i="2"/>
  <c r="D104" i="2"/>
  <c r="D101" i="2"/>
  <c r="D99" i="2"/>
  <c r="D102" i="2"/>
  <c r="D100" i="2"/>
  <c r="E122" i="2"/>
  <c r="E119" i="2"/>
  <c r="E124" i="2"/>
  <c r="E118" i="2"/>
  <c r="E121" i="2"/>
  <c r="E123" i="2"/>
  <c r="E120" i="2"/>
  <c r="F99" i="2"/>
  <c r="F102" i="2"/>
  <c r="F104" i="2"/>
  <c r="F98" i="2"/>
  <c r="F101" i="2"/>
  <c r="F103" i="2"/>
  <c r="F100" i="2"/>
  <c r="C32" i="2" l="1"/>
  <c r="J31" i="2"/>
  <c r="J24" i="2" s="1"/>
  <c r="J26" i="2" s="1"/>
  <c r="E44" i="2"/>
  <c r="E32" i="2" s="1"/>
  <c r="H44" i="2"/>
  <c r="H32" i="2" s="1"/>
  <c r="E31" i="2"/>
  <c r="D31" i="2"/>
  <c r="G31" i="2"/>
  <c r="G24" i="2" s="1"/>
  <c r="H31" i="2"/>
  <c r="I31" i="2"/>
  <c r="I24" i="2" s="1"/>
  <c r="I26" i="2" s="1"/>
  <c r="K31" i="2"/>
  <c r="K24" i="2" s="1"/>
  <c r="K25" i="2" s="1"/>
  <c r="F31" i="2"/>
  <c r="F24" i="2" s="1"/>
  <c r="F25" i="2" s="1"/>
  <c r="M31" i="2"/>
  <c r="M24" i="2" s="1"/>
  <c r="M26" i="2" s="1"/>
  <c r="C31" i="2"/>
  <c r="C24" i="2" l="1"/>
  <c r="C25" i="2" s="1"/>
  <c r="H24" i="2"/>
  <c r="H25" i="2" s="1"/>
  <c r="D24" i="2"/>
  <c r="D26" i="2" s="1"/>
  <c r="E24" i="2"/>
  <c r="E26" i="2" s="1"/>
  <c r="G25" i="2"/>
  <c r="M25" i="2"/>
  <c r="J25" i="2"/>
  <c r="K26" i="2"/>
  <c r="I25" i="2"/>
  <c r="F26" i="2"/>
  <c r="C26" i="2" l="1"/>
  <c r="G26" i="2"/>
  <c r="E25" i="2"/>
  <c r="D25" i="2"/>
  <c r="H26" i="2"/>
</calcChain>
</file>

<file path=xl/sharedStrings.xml><?xml version="1.0" encoding="utf-8"?>
<sst xmlns="http://schemas.openxmlformats.org/spreadsheetml/2006/main" count="638" uniqueCount="402">
  <si>
    <t>Kort om modellen</t>
  </si>
  <si>
    <t>D</t>
  </si>
  <si>
    <t>Fyll i data om bilarna</t>
  </si>
  <si>
    <t>All data i del D fylls i själv av användaren</t>
  </si>
  <si>
    <t>Modellen har tagits fram för att underlätta individers bilköp med syftet att kunna jämföra kostnader mellan olika modeller enligt "Total cost of ownership" principen</t>
  </si>
  <si>
    <t>Bildatan hämtas med fördel på leverantörernas hemsida, kontakta annars en återförsäljare</t>
  </si>
  <si>
    <t>Arbetet har utförts på Högskolan i Gävle av Peder Kjellen, inom projektet RATT-X, som syftar till att öka andelen hållbara transporter i Gävleborgsregionen</t>
  </si>
  <si>
    <t>Ett stort tack till projektets finansiärer:</t>
  </si>
  <si>
    <t>Nybilsköp</t>
  </si>
  <si>
    <t xml:space="preserve">Ja/Nej - Vid "Ja", kommer bilen att inkluderas i Bonus Malus-beräkningar </t>
  </si>
  <si>
    <t>Svenska Bonus Malus</t>
  </si>
  <si>
    <t>Förbrukning:</t>
  </si>
  <si>
    <t>Kan hämtas från tillverkare eller återförsäljares hemsida. Kan även hämtas på:</t>
  </si>
  <si>
    <t>bilsvar.se</t>
  </si>
  <si>
    <t>Tänk på att förbrukningen är ett genomsnitt</t>
  </si>
  <si>
    <t>För en laddhybrid är det t.ex svårt att uppskatta den verkliga genomsnittsförbrukningen eftersom det beror på hur mycket det är möjligt att köra på elmotorn. Någon som generellt sätt kör längre sträckor kommer att ha en högre genomsnittsförbrukning, medan någon som nästan bara kör på elmotorn kommer ha lägre förbrukning</t>
  </si>
  <si>
    <t>A</t>
  </si>
  <si>
    <t>Fyll i data om ditt ägandeskap</t>
  </si>
  <si>
    <t>Kontantinsats:</t>
  </si>
  <si>
    <t>Handpenning på bilköpet, det antas att det tas ett billån för resterande summa</t>
  </si>
  <si>
    <t>Antal mil:</t>
  </si>
  <si>
    <t>En svensk bil går i snitt lite mindre än 1 500 mil per år</t>
  </si>
  <si>
    <t>Används för att beräkna räntekostnaderna, räntesatsen ställs in i avsnitt C, "Billånsränta"</t>
  </si>
  <si>
    <t>Miltalet används för att beräkna bränslekostnaderna</t>
  </si>
  <si>
    <t>Laddstople:</t>
  </si>
  <si>
    <t>Priset för laddstolpe varierar beroende på laddhastighet och ligger kring 5 000 - 15 000 kr plus installation</t>
  </si>
  <si>
    <t>År:</t>
  </si>
  <si>
    <t>Antal år används för att beräkna totala driftskostnader och andrahandsvärdet på bilen</t>
  </si>
  <si>
    <t>Naturvårdsverket erbjuder "Ladda bilen" stöd för privat laddning vilket motsvarar 50%</t>
  </si>
  <si>
    <t>Modellen fungerar bara upp till 10 år</t>
  </si>
  <si>
    <t>Upp till 10 000 kr för privatpersoner och 15 000 kr för företag (per laddplats)</t>
  </si>
  <si>
    <t>Körstil:</t>
  </si>
  <si>
    <t xml:space="preserve">Körstilen påverkas av hur snabbt du kör och hur mycket du gasar och bromsar. </t>
  </si>
  <si>
    <t>Försäkring:</t>
  </si>
  <si>
    <t>Försäkringen beror på vilken bil man köper, vem som köper bilen och vart bilägaren bor</t>
  </si>
  <si>
    <t>Det påverkar i sin tur bränsleförbrukningen.</t>
  </si>
  <si>
    <t>Har man tillgång till ett registreringsnummer går det att jämföra försäkringspriser,</t>
  </si>
  <si>
    <t>Det går att välja mellan, "försiktigt", "normalt" och "aggressivt"</t>
  </si>
  <si>
    <t>annars erbjuder</t>
  </si>
  <si>
    <t>en schablonberäkning för varje modell</t>
  </si>
  <si>
    <t>Underhåll:</t>
  </si>
  <si>
    <t xml:space="preserve"> gör schablonberäkning för varje modell</t>
  </si>
  <si>
    <t>B</t>
  </si>
  <si>
    <t>Fyll i aktuella värden eller antaganden om bränslepriserna</t>
  </si>
  <si>
    <t>Bränslepriserna påverkar bränslekostnaderna</t>
  </si>
  <si>
    <t xml:space="preserve">Andrahandsvärde </t>
  </si>
  <si>
    <t>VIKTIGT!</t>
  </si>
  <si>
    <t>Om man upplever att modellen inte återger ett korrekt värde är det möjligt att själv mata
in ett värde för andrahandsvärdet.</t>
  </si>
  <si>
    <t xml:space="preserve"> - manuellt:</t>
  </si>
  <si>
    <t>C</t>
  </si>
  <si>
    <t>Fyll i värde för ränta</t>
  </si>
  <si>
    <t>Modellen beräknar andrahandvärdet enligt empirisk formel (Raustad, 2017). Modellen gäller i första hand elbilar, stickprov har visat att det stämmer ganska bra överens med traditionella bilar. Om något så är det troligt att värdet för bensin och dieselbilar sjunker snabbare</t>
  </si>
  <si>
    <t>Diskonteringsränta:</t>
  </si>
  <si>
    <t>Används för att illustrera pengars värdeminskning över tid</t>
  </si>
  <si>
    <t>Räntan används för att göra en nuvärdesberäkning</t>
  </si>
  <si>
    <t>Ett manuellt värde ersätter det beräknade värdet</t>
  </si>
  <si>
    <t>Räntan påverkar framförallt andrahandsvärdet på bilen men även de årliga driftskostnaderna</t>
  </si>
  <si>
    <t>Det är en stor spridning på andrahandsvärdet på bilar. Modellen återger bara ett genomsnitt och</t>
  </si>
  <si>
    <t>tar inte hänsyn till enskilda modeller</t>
  </si>
  <si>
    <t>I klassisk ekonomisk teori anges diskonteringsräntan som "förväntad avkastning på kapital" eller "riskfri ränta + inflation"</t>
  </si>
  <si>
    <t>E</t>
  </si>
  <si>
    <t>Data som beräknas av modellen</t>
  </si>
  <si>
    <t>Riskfri ränta anges vanligtvis i 10 årig statsobligation vilket i dagsläget är negativ men ligger vanligtvis mellan 3 - 5%</t>
  </si>
  <si>
    <t>Alla fälten beräknar den totala kostnaden över hela ägarskapstiden</t>
  </si>
  <si>
    <t>Sveriges inflationsmål ligger på 2% men är idagsläget närmare 1%</t>
  </si>
  <si>
    <t>Undantagen är kostnad per månad och kostnad per mil som är ett genomsnitt av totalkostnaden</t>
  </si>
  <si>
    <t>Fälten i avsnitt E bör lämnas, modellen fyller i alla värden själv</t>
  </si>
  <si>
    <t>Billånsränta:</t>
  </si>
  <si>
    <t>Används för att ta fram räntekostnaderna för ett billån</t>
  </si>
  <si>
    <t>Värdena avrundas till närmaste 10-tal kr</t>
  </si>
  <si>
    <t>Antar 3 års avbetalning, antar också att ingen amortering görs under lånets löptid</t>
  </si>
  <si>
    <t>Tar inte hänsyn till återbetalning av lånet i förtid, både återbetalning och amortering sänker räntekostnaderna för billånet</t>
  </si>
  <si>
    <t>Inköpskostnader</t>
  </si>
  <si>
    <t>= Inköp + Laddstolpe</t>
  </si>
  <si>
    <t>Andrahandsvärde</t>
  </si>
  <si>
    <t>Beräknas automatiskt (från Raustad, 2017) , manuellt ifyllt värde i avsnitt D ersätter det beräknade värdet i totalkostnadskalkylen</t>
  </si>
  <si>
    <t>Grön billånsränta</t>
  </si>
  <si>
    <t>För att premiera inköp bilar med låga utsläpp erbjuder vissa banker ett lägre billån för vissa biltyper.</t>
  </si>
  <si>
    <t>Bonus Malus - Bonus</t>
  </si>
  <si>
    <t>Ersättning för miljöbil, baseras på CO2 (g/km) utsläpp, enligt Transportstyrelsen</t>
  </si>
  <si>
    <t>Swedbank erbjuder exempelvis i dagsläget (2020-10-11) en ränta för bilar med utsläpp under 50 g / CO2 km på ungefär 3%</t>
  </si>
  <si>
    <t>Har bilen utsläpp under 50 g/CO2, används automatiskt den gröna billånsräntan</t>
  </si>
  <si>
    <t xml:space="preserve">Bränslekostnader </t>
  </si>
  <si>
    <t>Beräknas årligen enligt "antal mil * förbrukning * bränslepris"</t>
  </si>
  <si>
    <t xml:space="preserve">Skatt </t>
  </si>
  <si>
    <t>Beskattning baserat på utsläpp av CO2 (g/km) - inkluderar kostnad för Malus första 3 åren</t>
  </si>
  <si>
    <t>Räntekostnader</t>
  </si>
  <si>
    <t>- Kostnaden baseras på skillnaden mellan inköpspriset och kontantinsatsen.</t>
  </si>
  <si>
    <t>- Modellen gör även avdrag för bonusvärdet. Notera att bonusen inte betalas ut tidigast 6 månader efter nybilsinköp. Däremot kan bonusen användas för att delavbetala billånet</t>
  </si>
  <si>
    <t xml:space="preserve">- Räntekostnaderna antar en rak avbetalning över hela ägandeskapet, vilket innebär att lånet amorteras </t>
  </si>
  <si>
    <t>med ett fast belopp varje år. Räntan och amorteringen antas betalas en gång om året</t>
  </si>
  <si>
    <t>Kördata och ägande</t>
  </si>
  <si>
    <t>Bränsletyper</t>
  </si>
  <si>
    <t>Pris</t>
  </si>
  <si>
    <t>Enhet</t>
  </si>
  <si>
    <t>Bonus Pre 2021</t>
  </si>
  <si>
    <t>Efter juni 2022</t>
  </si>
  <si>
    <t>Innan juni 2022</t>
  </si>
  <si>
    <t>Malus Diesel</t>
  </si>
  <si>
    <t>kr</t>
  </si>
  <si>
    <t>Hur många mil kör du per år:</t>
  </si>
  <si>
    <t>El</t>
  </si>
  <si>
    <t>kr/kWh</t>
  </si>
  <si>
    <t>Bonus nollutsläpp (kr)</t>
  </si>
  <si>
    <t>Miljötillägg</t>
  </si>
  <si>
    <t>Hur många år tänker du äga bilen:</t>
  </si>
  <si>
    <t>Bensin</t>
  </si>
  <si>
    <t>kr/l</t>
  </si>
  <si>
    <t>Grön billånsränta:</t>
  </si>
  <si>
    <t>Max bonus övriga (kr)</t>
  </si>
  <si>
    <t>Bränsletillägg (kr/g CO2)</t>
  </si>
  <si>
    <t>Hur upplever du din körstil:</t>
  </si>
  <si>
    <t>Normal</t>
  </si>
  <si>
    <t>Diesel</t>
  </si>
  <si>
    <t>CO2 gräns (g CO2/km)</t>
  </si>
  <si>
    <t>Biodiesel</t>
  </si>
  <si>
    <t>CO2 avdrag (kr /g CO2/km)</t>
  </si>
  <si>
    <t>Biogas</t>
  </si>
  <si>
    <t>kr/kg</t>
  </si>
  <si>
    <t>Etanol</t>
  </si>
  <si>
    <t>Biogasbonus</t>
  </si>
  <si>
    <t>Vätgas</t>
  </si>
  <si>
    <t>Nya Malusregler</t>
  </si>
  <si>
    <t>Bilmodell</t>
  </si>
  <si>
    <t>Renault Zoe Evolution</t>
  </si>
  <si>
    <t>VW Golf</t>
  </si>
  <si>
    <t>Tesla Model 3</t>
  </si>
  <si>
    <t>Volvo S90</t>
  </si>
  <si>
    <t>Kia e-Niro Advance</t>
  </si>
  <si>
    <t xml:space="preserve">Nissan Qashqai 
(automat) </t>
  </si>
  <si>
    <t>Kia Ceed PHEV</t>
  </si>
  <si>
    <t>Kia Ceed</t>
  </si>
  <si>
    <t>Malus Pre 2021</t>
  </si>
  <si>
    <t>g CO2 / km</t>
  </si>
  <si>
    <t>Körstil</t>
  </si>
  <si>
    <t>Fyll i själv</t>
  </si>
  <si>
    <t>Årsmodell</t>
  </si>
  <si>
    <t>Grundbelopp</t>
  </si>
  <si>
    <t>Försiktig</t>
  </si>
  <si>
    <t>Med bonus (Ja/Nej)</t>
  </si>
  <si>
    <t>Ja</t>
  </si>
  <si>
    <t>Nej</t>
  </si>
  <si>
    <t>Koldioxidskatt</t>
  </si>
  <si>
    <t>Bränsle</t>
  </si>
  <si>
    <t xml:space="preserve"> 0 - 75</t>
  </si>
  <si>
    <t>Aggressiv</t>
  </si>
  <si>
    <t>Utsläpp  (g CO2/km)</t>
  </si>
  <si>
    <t>&lt;</t>
  </si>
  <si>
    <t>Förbrukning  (bränsle/mil)</t>
  </si>
  <si>
    <t>Multiplikator</t>
  </si>
  <si>
    <t>Inköpspris  (kr)</t>
  </si>
  <si>
    <t>Kontantinsats (kr)</t>
  </si>
  <si>
    <t>Malus antal år</t>
  </si>
  <si>
    <t>Laddstolpe inköp (kr)</t>
  </si>
  <si>
    <t>Skatt efter 3 år</t>
  </si>
  <si>
    <t>Bonus Malus 1 april 2021</t>
  </si>
  <si>
    <t>Ägande (år)</t>
  </si>
  <si>
    <t>Försäkring  (kr/år)</t>
  </si>
  <si>
    <t>Underhåll (kr/år)</t>
  </si>
  <si>
    <t>Andrahandsvärde - 
Manuellt (kr)</t>
  </si>
  <si>
    <t>År</t>
  </si>
  <si>
    <t>TOTALA KOSTNADER (kr)</t>
  </si>
  <si>
    <t>Fylls i automatiskt</t>
  </si>
  <si>
    <t>Kostnad per månad (kr)</t>
  </si>
  <si>
    <t>Gräns för grönt billån (Swedbank) (g CO2/km)</t>
  </si>
  <si>
    <t>Kostnad per mil (kr)</t>
  </si>
  <si>
    <t>Inköpskostnader (kr)</t>
  </si>
  <si>
    <t>Andrahandsvärde (kr)</t>
  </si>
  <si>
    <t>Bonus Malus - Bonus (kr)</t>
  </si>
  <si>
    <t>Bränslekostnader (kr)</t>
  </si>
  <si>
    <t>Skatt (kr)</t>
  </si>
  <si>
    <t>Försäkring &amp; Underhåll (kr)</t>
  </si>
  <si>
    <t>Räntekostnader (kr)</t>
  </si>
  <si>
    <t>Bonus Malus Före</t>
  </si>
  <si>
    <t>Ålder</t>
  </si>
  <si>
    <t>Ålder vid försäljning</t>
  </si>
  <si>
    <t>Antal Malus år</t>
  </si>
  <si>
    <t>Skatt</t>
  </si>
  <si>
    <t>Malus</t>
  </si>
  <si>
    <t>Skatt "Gammal bil"</t>
  </si>
  <si>
    <t>Bränsle Y1</t>
  </si>
  <si>
    <t>Bränsle Y2</t>
  </si>
  <si>
    <t>Bränsle Y3</t>
  </si>
  <si>
    <t>Bränsle Y4</t>
  </si>
  <si>
    <t>Bränsle Y5</t>
  </si>
  <si>
    <t>Bränsle Y6</t>
  </si>
  <si>
    <t>Värdeminskningstabell</t>
  </si>
  <si>
    <t>Bränsle Y7</t>
  </si>
  <si>
    <t>(exklusive diskontering)</t>
  </si>
  <si>
    <t>Bränsle Y8</t>
  </si>
  <si>
    <t>Bränsle Y9</t>
  </si>
  <si>
    <t>Bränsle Y10</t>
  </si>
  <si>
    <t>Bränsle NPV1</t>
  </si>
  <si>
    <t>Bränsle NPV2</t>
  </si>
  <si>
    <t>Bränsle NPV3</t>
  </si>
  <si>
    <t>Bränsle NPV4</t>
  </si>
  <si>
    <t>Bränsle NPV5</t>
  </si>
  <si>
    <t>Bränsle NPV6</t>
  </si>
  <si>
    <t>Bränsle NPV7</t>
  </si>
  <si>
    <t>Bränsle NPV8</t>
  </si>
  <si>
    <t>Bränsle NPV9</t>
  </si>
  <si>
    <t>Bränsle NPV10</t>
  </si>
  <si>
    <t>Skatt Y1</t>
  </si>
  <si>
    <t>Skatt Y2</t>
  </si>
  <si>
    <t>Skatt Y3</t>
  </si>
  <si>
    <t>Skatt Y4</t>
  </si>
  <si>
    <t>Skatt Y5</t>
  </si>
  <si>
    <t>Skatt Y6</t>
  </si>
  <si>
    <t>Skatt Y7</t>
  </si>
  <si>
    <t>Skatt Y8</t>
  </si>
  <si>
    <t>Skatt Y9</t>
  </si>
  <si>
    <t>Skatt Y10</t>
  </si>
  <si>
    <t>Skatt NPV1</t>
  </si>
  <si>
    <t>Skatt NPV2</t>
  </si>
  <si>
    <t>Skatt NPV3</t>
  </si>
  <si>
    <t>Skatt NPV4</t>
  </si>
  <si>
    <t>Skatt NPV5</t>
  </si>
  <si>
    <t>Skatt NPV6</t>
  </si>
  <si>
    <t>Skatt NPV7</t>
  </si>
  <si>
    <t>Skatt NPV8</t>
  </si>
  <si>
    <t>Skatt NPV9</t>
  </si>
  <si>
    <t>Skatt NPV10</t>
  </si>
  <si>
    <t>Malus Y1</t>
  </si>
  <si>
    <t>Malus Y2</t>
  </si>
  <si>
    <t>Malus Y3</t>
  </si>
  <si>
    <t>Malus Y4</t>
  </si>
  <si>
    <t>Malus Y5</t>
  </si>
  <si>
    <t>Malus Y6</t>
  </si>
  <si>
    <t>Malus Y7</t>
  </si>
  <si>
    <t>Malus Y8</t>
  </si>
  <si>
    <t>Malus Y9</t>
  </si>
  <si>
    <t>Malus Y10</t>
  </si>
  <si>
    <t>Malus NPV1</t>
  </si>
  <si>
    <t>Malus NPV2</t>
  </si>
  <si>
    <t>Malus NPV3</t>
  </si>
  <si>
    <t>Malus NPV4</t>
  </si>
  <si>
    <t>Malus NPV5</t>
  </si>
  <si>
    <t>Malus NPV6</t>
  </si>
  <si>
    <t>Malus NPV7</t>
  </si>
  <si>
    <t>Malus NPV8</t>
  </si>
  <si>
    <t>Malus NPV9</t>
  </si>
  <si>
    <t>Malus NPV10</t>
  </si>
  <si>
    <t>Gammal bil Y1</t>
  </si>
  <si>
    <t>Gammal bil Y2</t>
  </si>
  <si>
    <t>Gammal bil Y3</t>
  </si>
  <si>
    <t>Gammal bil Y4</t>
  </si>
  <si>
    <t>Gammal bil Y5</t>
  </si>
  <si>
    <t>Gammal bil Y6</t>
  </si>
  <si>
    <t>Gammal bil Y7</t>
  </si>
  <si>
    <t>Gammal bil Y8</t>
  </si>
  <si>
    <t>Gammal bil Y9</t>
  </si>
  <si>
    <t>Gammal bil Y10</t>
  </si>
  <si>
    <t>Gammal bil NPV1</t>
  </si>
  <si>
    <t>Gammal bil NPV2</t>
  </si>
  <si>
    <t>Gammal bil NPV3</t>
  </si>
  <si>
    <t>Gammal bil NPV4</t>
  </si>
  <si>
    <t>Gammal bil NPV5</t>
  </si>
  <si>
    <t>Gammal bil NPV6</t>
  </si>
  <si>
    <t>Gammal bil NPV7</t>
  </si>
  <si>
    <t>Gammal bil NPV8</t>
  </si>
  <si>
    <t>Gammal bil NPV9</t>
  </si>
  <si>
    <t>Gammal bil NPV10</t>
  </si>
  <si>
    <t>Försäkring &amp; Underhåll Y1</t>
  </si>
  <si>
    <t>Försäkring &amp; Underhåll Y2</t>
  </si>
  <si>
    <t>Försäkring &amp; Underhåll Y3</t>
  </si>
  <si>
    <t>Försäkring &amp; Underhåll Y4</t>
  </si>
  <si>
    <t>Försäkring &amp; Underhåll Y5</t>
  </si>
  <si>
    <t>Försäkring &amp; Underhåll Y6</t>
  </si>
  <si>
    <t>Försäkring &amp; Underhåll Y7</t>
  </si>
  <si>
    <t>Försäkring &amp; Underhåll Y8</t>
  </si>
  <si>
    <t>Försäkring &amp; Underhåll Y9</t>
  </si>
  <si>
    <t>Försäkring &amp; Underhåll Y10</t>
  </si>
  <si>
    <t>Försäkring &amp; Underhåll NPV1</t>
  </si>
  <si>
    <t>Försäkring &amp; Underhåll NPV2</t>
  </si>
  <si>
    <t>Försäkring &amp; Underhåll NPV3</t>
  </si>
  <si>
    <t>Försäkring &amp; Underhåll NPV4</t>
  </si>
  <si>
    <t>Försäkring &amp; Underhåll NPV5</t>
  </si>
  <si>
    <t>Försäkring &amp; Underhåll NPV6</t>
  </si>
  <si>
    <t>Försäkring &amp; Underhåll NPV7</t>
  </si>
  <si>
    <t>Försäkring &amp; Underhåll NPV8</t>
  </si>
  <si>
    <t>Försäkring &amp; Underhåll NPV9</t>
  </si>
  <si>
    <t>Försäkring &amp; Underhåll NPV10</t>
  </si>
  <si>
    <t>Lånebelopp</t>
  </si>
  <si>
    <t>Amortering Y1</t>
  </si>
  <si>
    <t>Amortering Y2</t>
  </si>
  <si>
    <t>Amortering Y3</t>
  </si>
  <si>
    <t>Amortering Y4</t>
  </si>
  <si>
    <t>Amortering Y5</t>
  </si>
  <si>
    <t>Amortering Y6</t>
  </si>
  <si>
    <t>Amortering Y7</t>
  </si>
  <si>
    <t>Amortering Y8</t>
  </si>
  <si>
    <t>Amortering Y9</t>
  </si>
  <si>
    <t>Amortering Y10</t>
  </si>
  <si>
    <t>Räntekostnader NPV1</t>
  </si>
  <si>
    <t>Räntekostnader NPV2</t>
  </si>
  <si>
    <t>Räntekostnader NPV3</t>
  </si>
  <si>
    <t>Räntekostnader NPV4</t>
  </si>
  <si>
    <t>Räntekostnader NPV5</t>
  </si>
  <si>
    <t>Räntekostnader NPV6</t>
  </si>
  <si>
    <t>Räntekostnader NPV7</t>
  </si>
  <si>
    <t>Räntekostnader NPV8</t>
  </si>
  <si>
    <t>Räntekostnader NPV9</t>
  </si>
  <si>
    <t>Räntekostnader NPV10</t>
  </si>
  <si>
    <t>Bonus</t>
  </si>
  <si>
    <t>Max bonus (kr)</t>
  </si>
  <si>
    <t>Kia e-Niro</t>
  </si>
  <si>
    <t>Skoda Karoq</t>
  </si>
  <si>
    <t xml:space="preserve">&lt;Fyll i själv&gt;     </t>
  </si>
  <si>
    <t>Omfattas av Malus</t>
  </si>
  <si>
    <t xml:space="preserve"> 0 - 95</t>
  </si>
  <si>
    <t>Leasingkostnad, 0-6 mån (kr/mån)</t>
  </si>
  <si>
    <t>Leasingkostnad, + 6 mån (kr/mån)</t>
  </si>
  <si>
    <t>Försäkring 0-3 år (kr/mån)</t>
  </si>
  <si>
    <t>Försäkring + 3 år (kr/mån)</t>
  </si>
  <si>
    <t>Underhåll (kr/mån)</t>
  </si>
  <si>
    <t>Inköp (däck, alkolås, etc) (kr)</t>
  </si>
  <si>
    <t>Nybilsbonus</t>
  </si>
  <si>
    <t>Intäkt restvärde (kr)</t>
  </si>
  <si>
    <t>Leasingkostnad exkl moms (kr)</t>
  </si>
  <si>
    <t>Momskostnad, leasing (kr)</t>
  </si>
  <si>
    <t>Inköp &amp; restvärde (kr)</t>
  </si>
  <si>
    <t>Skatt inkl ev Malus (kr)</t>
  </si>
  <si>
    <t>Försäkring (kr)</t>
  </si>
  <si>
    <t xml:space="preserve"> Underhåll (kr)</t>
  </si>
  <si>
    <t>Försäkring Y1</t>
  </si>
  <si>
    <t>Försäkring Y2</t>
  </si>
  <si>
    <t>Försäkring Y3</t>
  </si>
  <si>
    <t>Försäkring Y4</t>
  </si>
  <si>
    <t>Försäkring Y5</t>
  </si>
  <si>
    <t>Försäkring Y6</t>
  </si>
  <si>
    <t>Försäkring Y7</t>
  </si>
  <si>
    <t>Försäkring Y8</t>
  </si>
  <si>
    <t>Försäkring Y9</t>
  </si>
  <si>
    <t>Försäkring Y10</t>
  </si>
  <si>
    <t>Försäkring NPV1</t>
  </si>
  <si>
    <t>Försäkring NPV2</t>
  </si>
  <si>
    <t>Försäkring NPV3</t>
  </si>
  <si>
    <t>Försäkring NPV4</t>
  </si>
  <si>
    <t>Försäkring NPV5</t>
  </si>
  <si>
    <t>Försäkring NPV6</t>
  </si>
  <si>
    <t>Försäkring NPV7</t>
  </si>
  <si>
    <t>Försäkring NPV8</t>
  </si>
  <si>
    <t>Försäkring NPV9</t>
  </si>
  <si>
    <t>Försäkring NPV10</t>
  </si>
  <si>
    <t>Underhåll Y1</t>
  </si>
  <si>
    <t>Underhåll Y2</t>
  </si>
  <si>
    <t>Underhåll Y3</t>
  </si>
  <si>
    <t>Underhåll Y4</t>
  </si>
  <si>
    <t>Underhåll Y5</t>
  </si>
  <si>
    <t>Underhåll Y6</t>
  </si>
  <si>
    <t>Underhåll Y7</t>
  </si>
  <si>
    <t>Underhåll Y8</t>
  </si>
  <si>
    <t>Underhåll Y9</t>
  </si>
  <si>
    <t>Underhåll Y10</t>
  </si>
  <si>
    <t>Underhåll NPV1</t>
  </si>
  <si>
    <t>Underhåll NPV2</t>
  </si>
  <si>
    <t>Underhåll NPV3</t>
  </si>
  <si>
    <t>Underhåll NPV4</t>
  </si>
  <si>
    <t>Underhåll NPV5</t>
  </si>
  <si>
    <t>Underhåll NPV6</t>
  </si>
  <si>
    <t>Underhåll NPV7</t>
  </si>
  <si>
    <t>Underhåll NPV8</t>
  </si>
  <si>
    <t>Underhåll NPV9</t>
  </si>
  <si>
    <t>Underhåll NPV10</t>
  </si>
  <si>
    <t>Leasing Y1</t>
  </si>
  <si>
    <t>Leasing Y2</t>
  </si>
  <si>
    <t>Leasing Y3</t>
  </si>
  <si>
    <t>Leasing Y4</t>
  </si>
  <si>
    <t>Leasing Y5</t>
  </si>
  <si>
    <t>Leasing Y6</t>
  </si>
  <si>
    <t>Leasing Y7</t>
  </si>
  <si>
    <t>Leasing Y8</t>
  </si>
  <si>
    <t>Leasing Y9</t>
  </si>
  <si>
    <t>Leasing Y10</t>
  </si>
  <si>
    <t>Leasing NPV1</t>
  </si>
  <si>
    <t>Leasing NPV2</t>
  </si>
  <si>
    <t>Leasing NPV3</t>
  </si>
  <si>
    <t>Leasing NPV4</t>
  </si>
  <si>
    <t>Leasing NPV5</t>
  </si>
  <si>
    <t>Leasing NPV6</t>
  </si>
  <si>
    <t>Leasing NPV7</t>
  </si>
  <si>
    <t>Leasing NPV8</t>
  </si>
  <si>
    <t>Leasing NPV9</t>
  </si>
  <si>
    <t>Leasing NPV10</t>
  </si>
  <si>
    <t>Ja/Nej - Inkluderar eller exkluderar Malus i skattekostnaderna</t>
  </si>
  <si>
    <t>Utsläpp</t>
  </si>
  <si>
    <t xml:space="preserve">Utsläppsvärdet påverkar skatten </t>
  </si>
  <si>
    <t xml:space="preserve">Förbrukning </t>
  </si>
  <si>
    <t>Förbrukningen påverkar bränslekostnaderna, vid en fast månadskostnad för bränsle, lämna blank och fyll i kostnaden på underhåll istället</t>
  </si>
  <si>
    <t>Leasingkostnad, 0-6 mån</t>
  </si>
  <si>
    <t>Leasingkostnad de första 6 månaderna innan ev Bonus är inkluderad</t>
  </si>
  <si>
    <t>Leasingkostnad, + 6 mån</t>
  </si>
  <si>
    <t xml:space="preserve">Leasingkostnad efter 6 mån. Är kostnaden oförändrad, fyll i samma värde som föregående </t>
  </si>
  <si>
    <t>Försäkring 0-3 år</t>
  </si>
  <si>
    <t>Försäkringskostnad första 3 åren</t>
  </si>
  <si>
    <t>Försäkring + 3 år</t>
  </si>
  <si>
    <t>Försäkring efter 3 år. Är kostnaden oförändrad, fyll i samma värde som föregående</t>
  </si>
  <si>
    <t>Underhåll</t>
  </si>
  <si>
    <t>Eventuella tillägg för service, eller andra fasta månadskostnader som laddabonnemang</t>
  </si>
  <si>
    <t xml:space="preserve">Inköp (däck, alkolås, etc) </t>
  </si>
  <si>
    <t>Tillägg, engångsköp</t>
  </si>
  <si>
    <t>Kan vara intäkt vid försäljning av bil men även om Bonus betalas ut som en klumpsumma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</si>
</sst>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_-* #,##0_-;\-* #,##0_-;_-* &quot;-&quot;??_-;_-@_-"/>
    <numFmt numFmtId="166" formatCode="_-* #,##0.000_-;\-* #,##0.000_-;_-* &quot;-&quot;??_-;_-@_-"/>
    <numFmt numFmtId="167" formatCode="_-* #,##0.0_-;\-* #,##0.0_-;_-* &quot;-&quot;??_-;_-@_-"/>
    <numFmt numFmtId="168" formatCode="#,##0\ &quot;kr&quot;"/>
    <numFmt numFmtId="169" formatCode="_-* #,##0\ _k_r_-;\-* #,##0\ _k_r_-;_-* &quot;-&quot;??\ _k_r_-;_-@_-"/>
    <numFmt numFmtId="170" formatCode="0.0%"/>
  </numFmts>
  <fonts count="9">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7"/>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s>
  <borders count="21">
    <border>
      <left/>
      <right/>
      <top/>
      <bottom/>
      <diagonal/>
    </border>
    <border>
      <left/>
      <right style="thin">
        <color indexed="64"/>
      </right>
      <top/>
      <bottom/>
      <diagonal/>
    </border>
    <border>
      <left/>
      <right style="thin">
        <color indexed="64"/>
      </right>
      <top style="thin">
        <color indexed="64"/>
      </top>
      <bottom/>
      <diagonal/>
    </border>
    <border>
      <left/>
      <right/>
      <top style="thick">
        <color auto="1"/>
      </top>
      <bottom/>
      <diagonal/>
    </border>
    <border>
      <left/>
      <right style="thin">
        <color indexed="64"/>
      </right>
      <top style="thick">
        <color auto="1"/>
      </top>
      <bottom/>
      <diagonal/>
    </border>
    <border>
      <left/>
      <right/>
      <top/>
      <bottom style="thin">
        <color indexed="64"/>
      </bottom>
      <diagonal/>
    </border>
    <border>
      <left/>
      <right style="thin">
        <color auto="1"/>
      </right>
      <top/>
      <bottom style="thin">
        <color auto="1"/>
      </bottom>
      <diagonal/>
    </border>
    <border>
      <left/>
      <right style="thick">
        <color auto="1"/>
      </right>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style="thin">
        <color auto="1"/>
      </right>
      <top/>
      <bottom style="thick">
        <color indexed="64"/>
      </bottom>
      <diagonal/>
    </border>
    <border>
      <left/>
      <right style="thin">
        <color indexed="64"/>
      </right>
      <top/>
      <bottom style="medium">
        <color auto="1"/>
      </bottom>
      <diagonal/>
    </border>
    <border>
      <left/>
      <right/>
      <top/>
      <bottom style="medium">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55">
    <xf numFmtId="0" fontId="0" fillId="0" borderId="0" xfId="0"/>
    <xf numFmtId="165" fontId="0" fillId="0" borderId="0" xfId="1" applyNumberFormat="1" applyFont="1"/>
    <xf numFmtId="165" fontId="0" fillId="0" borderId="0" xfId="1" applyNumberFormat="1" applyFont="1" applyFill="1" applyBorder="1" applyAlignment="1">
      <alignment horizontal="right"/>
    </xf>
    <xf numFmtId="165" fontId="0" fillId="0" borderId="0" xfId="1" applyNumberFormat="1" applyFont="1" applyAlignment="1" applyProtection="1">
      <alignment horizontal="center"/>
    </xf>
    <xf numFmtId="165" fontId="0" fillId="0" borderId="0" xfId="0" applyNumberFormat="1"/>
    <xf numFmtId="165" fontId="0" fillId="0" borderId="0" xfId="1" applyNumberFormat="1" applyFont="1" applyAlignment="1">
      <alignment horizontal="right" vertical="center"/>
    </xf>
    <xf numFmtId="165" fontId="0" fillId="0" borderId="1" xfId="1" applyNumberFormat="1" applyFont="1" applyBorder="1" applyAlignment="1">
      <alignment horizontal="right" vertical="center" wrapText="1" indent="1"/>
    </xf>
    <xf numFmtId="165" fontId="2" fillId="0" borderId="1" xfId="1" applyNumberFormat="1" applyFont="1" applyBorder="1" applyAlignment="1">
      <alignment horizontal="right" vertical="center" wrapText="1" indent="1"/>
    </xf>
    <xf numFmtId="165" fontId="0" fillId="0" borderId="1" xfId="1" applyNumberFormat="1" applyFont="1" applyFill="1" applyBorder="1" applyAlignment="1">
      <alignment horizontal="right" vertical="center" wrapText="1" indent="1"/>
    </xf>
    <xf numFmtId="165" fontId="0" fillId="0" borderId="0" xfId="1" applyNumberFormat="1" applyFont="1" applyBorder="1" applyAlignment="1">
      <alignment horizontal="right"/>
    </xf>
    <xf numFmtId="165" fontId="0" fillId="0" borderId="6" xfId="1" applyNumberFormat="1" applyFont="1" applyBorder="1" applyAlignment="1">
      <alignment horizontal="right" vertical="center" wrapText="1" indent="1"/>
    </xf>
    <xf numFmtId="165" fontId="0" fillId="0" borderId="6" xfId="1" applyNumberFormat="1" applyFont="1" applyBorder="1"/>
    <xf numFmtId="165" fontId="0" fillId="0" borderId="5" xfId="1" applyNumberFormat="1" applyFont="1" applyBorder="1"/>
    <xf numFmtId="165" fontId="0" fillId="0" borderId="8" xfId="1" applyNumberFormat="1" applyFont="1" applyBorder="1"/>
    <xf numFmtId="165" fontId="0" fillId="4" borderId="0" xfId="1" applyNumberFormat="1" applyFont="1" applyFill="1"/>
    <xf numFmtId="165" fontId="0" fillId="4" borderId="0" xfId="1" applyNumberFormat="1" applyFont="1" applyFill="1" applyAlignment="1">
      <alignment horizontal="right"/>
    </xf>
    <xf numFmtId="165" fontId="0" fillId="0" borderId="1" xfId="1" applyNumberFormat="1" applyFont="1" applyBorder="1"/>
    <xf numFmtId="165" fontId="0" fillId="0" borderId="9" xfId="1" applyNumberFormat="1" applyFont="1" applyBorder="1" applyAlignment="1">
      <alignment horizontal="right"/>
    </xf>
    <xf numFmtId="167" fontId="0" fillId="0" borderId="6" xfId="1" applyNumberFormat="1" applyFont="1" applyBorder="1"/>
    <xf numFmtId="165" fontId="0" fillId="0" borderId="9" xfId="1" applyNumberFormat="1" applyFont="1" applyBorder="1"/>
    <xf numFmtId="9" fontId="0" fillId="0" borderId="1" xfId="2" applyFont="1" applyBorder="1"/>
    <xf numFmtId="165" fontId="0" fillId="0" borderId="10" xfId="1" applyNumberFormat="1" applyFont="1" applyBorder="1"/>
    <xf numFmtId="164" fontId="0" fillId="0" borderId="1" xfId="1" applyFont="1" applyBorder="1"/>
    <xf numFmtId="165" fontId="0" fillId="0" borderId="11" xfId="1" applyNumberFormat="1" applyFont="1" applyBorder="1"/>
    <xf numFmtId="165" fontId="2" fillId="0" borderId="12" xfId="1" applyNumberFormat="1" applyFont="1" applyBorder="1"/>
    <xf numFmtId="165" fontId="0" fillId="0" borderId="2" xfId="1" applyNumberFormat="1" applyFont="1" applyBorder="1"/>
    <xf numFmtId="165" fontId="2" fillId="0" borderId="13" xfId="1" applyNumberFormat="1" applyFont="1" applyBorder="1"/>
    <xf numFmtId="165" fontId="2" fillId="0" borderId="2" xfId="1" applyNumberFormat="1" applyFont="1" applyBorder="1" applyAlignment="1">
      <alignment horizontal="center"/>
    </xf>
    <xf numFmtId="165" fontId="2" fillId="0" borderId="14" xfId="1" applyNumberFormat="1" applyFont="1" applyBorder="1" applyAlignment="1"/>
    <xf numFmtId="165" fontId="2" fillId="0" borderId="13" xfId="1" applyNumberFormat="1" applyFont="1" applyBorder="1" applyAlignment="1"/>
    <xf numFmtId="0" fontId="0" fillId="0" borderId="7" xfId="0" applyBorder="1"/>
    <xf numFmtId="0" fontId="7" fillId="0" borderId="5" xfId="0" applyFont="1" applyBorder="1"/>
    <xf numFmtId="0" fontId="0" fillId="0" borderId="5" xfId="0" applyBorder="1"/>
    <xf numFmtId="0" fontId="3" fillId="5" borderId="0" xfId="0" applyFont="1" applyFill="1" applyAlignment="1">
      <alignment horizontal="center"/>
    </xf>
    <xf numFmtId="0" fontId="6" fillId="0" borderId="5" xfId="0" applyFont="1" applyBorder="1"/>
    <xf numFmtId="0" fontId="2" fillId="0" borderId="0" xfId="0" applyFont="1"/>
    <xf numFmtId="0" fontId="0" fillId="0" borderId="15" xfId="0" applyBorder="1"/>
    <xf numFmtId="0" fontId="0" fillId="0" borderId="16" xfId="0" applyBorder="1"/>
    <xf numFmtId="0" fontId="8" fillId="0" borderId="0" xfId="3"/>
    <xf numFmtId="0" fontId="0" fillId="0" borderId="0" xfId="0" applyAlignment="1">
      <alignment wrapText="1"/>
    </xf>
    <xf numFmtId="0" fontId="0" fillId="0" borderId="0" xfId="0" applyAlignment="1">
      <alignment vertical="top"/>
    </xf>
    <xf numFmtId="0" fontId="0" fillId="0" borderId="0" xfId="0" applyAlignment="1">
      <alignment vertical="center"/>
    </xf>
    <xf numFmtId="0" fontId="3" fillId="0" borderId="0" xfId="0" applyFont="1" applyAlignment="1">
      <alignment horizontal="center"/>
    </xf>
    <xf numFmtId="165" fontId="0" fillId="0" borderId="5" xfId="0" applyNumberFormat="1" applyBorder="1"/>
    <xf numFmtId="0" fontId="3" fillId="3" borderId="0" xfId="0" applyFont="1" applyFill="1" applyAlignment="1">
      <alignment horizontal="left" vertical="center"/>
    </xf>
    <xf numFmtId="165" fontId="0" fillId="0" borderId="12" xfId="1" applyNumberFormat="1" applyFont="1" applyBorder="1"/>
    <xf numFmtId="165" fontId="5" fillId="0" borderId="1" xfId="1" applyNumberFormat="1" applyFont="1" applyBorder="1" applyAlignment="1">
      <alignment horizontal="right" vertical="center" wrapText="1" indent="1"/>
    </xf>
    <xf numFmtId="165" fontId="0" fillId="0" borderId="0" xfId="1" applyNumberFormat="1" applyFont="1" applyBorder="1"/>
    <xf numFmtId="167" fontId="0" fillId="0" borderId="0" xfId="1" applyNumberFormat="1" applyFont="1" applyBorder="1"/>
    <xf numFmtId="0" fontId="0" fillId="0" borderId="0" xfId="0" applyAlignment="1">
      <alignment horizontal="left" wrapText="1"/>
    </xf>
    <xf numFmtId="0" fontId="0" fillId="0" borderId="0" xfId="0" applyAlignment="1">
      <alignment horizontal="left"/>
    </xf>
    <xf numFmtId="165" fontId="0" fillId="0" borderId="0" xfId="1" applyNumberFormat="1" applyFont="1" applyBorder="1" applyAlignment="1">
      <alignment horizontal="right" wrapText="1" indent="1"/>
    </xf>
    <xf numFmtId="165" fontId="0" fillId="0" borderId="0" xfId="1" applyNumberFormat="1" applyFont="1" applyBorder="1" applyAlignment="1">
      <alignment horizontal="right" vertical="center" wrapText="1" indent="1"/>
    </xf>
    <xf numFmtId="0" fontId="8" fillId="0" borderId="0" xfId="3" applyAlignment="1">
      <alignment vertical="center"/>
    </xf>
    <xf numFmtId="0" fontId="3" fillId="4" borderId="0" xfId="0" applyFont="1" applyFill="1" applyAlignment="1">
      <alignment horizontal="left"/>
    </xf>
    <xf numFmtId="165" fontId="0" fillId="0" borderId="9" xfId="1" applyNumberFormat="1" applyFont="1" applyBorder="1" applyAlignment="1">
      <alignment horizontal="left"/>
    </xf>
    <xf numFmtId="165" fontId="0" fillId="0" borderId="0" xfId="1" applyNumberFormat="1" applyFont="1" applyBorder="1" applyAlignment="1">
      <alignment horizontal="left"/>
    </xf>
    <xf numFmtId="165" fontId="4" fillId="4" borderId="0" xfId="1" applyNumberFormat="1" applyFont="1" applyFill="1" applyAlignment="1">
      <alignment horizontal="center"/>
    </xf>
    <xf numFmtId="168" fontId="0" fillId="0" borderId="0" xfId="1" applyNumberFormat="1" applyFont="1" applyAlignment="1">
      <alignment vertical="center"/>
    </xf>
    <xf numFmtId="165" fontId="0" fillId="4" borderId="0" xfId="1" applyNumberFormat="1" applyFont="1" applyFill="1" applyAlignment="1"/>
    <xf numFmtId="165" fontId="0" fillId="4" borderId="0" xfId="1" applyNumberFormat="1" applyFont="1" applyFill="1" applyProtection="1">
      <protection locked="0"/>
    </xf>
    <xf numFmtId="0" fontId="3" fillId="4" borderId="0" xfId="0" applyFont="1" applyFill="1" applyAlignment="1" applyProtection="1">
      <alignment horizontal="left"/>
      <protection locked="0"/>
    </xf>
    <xf numFmtId="165" fontId="6" fillId="4" borderId="5" xfId="1" applyNumberFormat="1" applyFont="1" applyFill="1" applyBorder="1" applyAlignment="1" applyProtection="1">
      <protection locked="0"/>
    </xf>
    <xf numFmtId="165" fontId="2" fillId="4" borderId="5" xfId="1" applyNumberFormat="1" applyFont="1" applyFill="1" applyBorder="1" applyAlignment="1" applyProtection="1">
      <alignment horizontal="right"/>
      <protection locked="0"/>
    </xf>
    <xf numFmtId="9" fontId="0" fillId="4" borderId="0" xfId="2" applyFont="1" applyFill="1" applyAlignment="1" applyProtection="1">
      <alignment horizontal="right"/>
      <protection locked="0"/>
    </xf>
    <xf numFmtId="165" fontId="4" fillId="4" borderId="0" xfId="1" applyNumberFormat="1" applyFont="1" applyFill="1" applyAlignment="1" applyProtection="1">
      <alignment horizontal="center"/>
      <protection locked="0"/>
    </xf>
    <xf numFmtId="165" fontId="0" fillId="4" borderId="0" xfId="1" applyNumberFormat="1" applyFont="1" applyFill="1" applyAlignment="1" applyProtection="1">
      <alignment horizontal="right"/>
      <protection locked="0"/>
    </xf>
    <xf numFmtId="164" fontId="0" fillId="4" borderId="0" xfId="1" applyFont="1" applyFill="1" applyAlignment="1" applyProtection="1">
      <alignment horizontal="right"/>
      <protection locked="0"/>
    </xf>
    <xf numFmtId="9" fontId="0" fillId="4" borderId="0" xfId="2" applyFont="1" applyFill="1" applyProtection="1">
      <protection locked="0"/>
    </xf>
    <xf numFmtId="165" fontId="4" fillId="4" borderId="0" xfId="1" applyNumberFormat="1" applyFont="1" applyFill="1" applyAlignment="1" applyProtection="1">
      <alignment horizontal="right"/>
      <protection locked="0"/>
    </xf>
    <xf numFmtId="165" fontId="0" fillId="4" borderId="0" xfId="1" applyNumberFormat="1" applyFont="1" applyFill="1" applyAlignment="1" applyProtection="1">
      <protection locked="0"/>
    </xf>
    <xf numFmtId="165" fontId="0" fillId="0" borderId="5" xfId="1" applyNumberFormat="1" applyFont="1" applyBorder="1" applyAlignment="1" applyProtection="1">
      <alignment horizontal="right" vertical="center"/>
      <protection locked="0"/>
    </xf>
    <xf numFmtId="165" fontId="0" fillId="0" borderId="0" xfId="1" applyNumberFormat="1" applyFont="1" applyBorder="1" applyAlignment="1" applyProtection="1">
      <alignment horizontal="right" vertical="center"/>
      <protection locked="0"/>
    </xf>
    <xf numFmtId="166" fontId="0" fillId="0" borderId="0" xfId="1" applyNumberFormat="1" applyFont="1" applyBorder="1" applyAlignment="1" applyProtection="1">
      <alignment horizontal="right" vertical="center"/>
      <protection locked="0"/>
    </xf>
    <xf numFmtId="168" fontId="0" fillId="0" borderId="0" xfId="1" applyNumberFormat="1" applyFont="1" applyBorder="1" applyAlignment="1" applyProtection="1">
      <alignment horizontal="right" vertical="center"/>
      <protection locked="0"/>
    </xf>
    <xf numFmtId="165" fontId="0" fillId="0" borderId="5" xfId="1" applyNumberFormat="1" applyFont="1" applyBorder="1" applyAlignment="1" applyProtection="1">
      <alignment horizontal="right" vertical="center" wrapText="1"/>
      <protection locked="0"/>
    </xf>
    <xf numFmtId="164" fontId="0" fillId="0" borderId="6" xfId="1" applyFont="1" applyBorder="1"/>
    <xf numFmtId="165" fontId="0" fillId="0" borderId="17" xfId="1" applyNumberFormat="1" applyFont="1" applyBorder="1"/>
    <xf numFmtId="169" fontId="0" fillId="0" borderId="0" xfId="1" applyNumberFormat="1" applyFont="1"/>
    <xf numFmtId="169" fontId="0" fillId="0" borderId="5" xfId="1" applyNumberFormat="1" applyFont="1" applyBorder="1"/>
    <xf numFmtId="0" fontId="0" fillId="0" borderId="0" xfId="0" quotePrefix="1"/>
    <xf numFmtId="0" fontId="0" fillId="0" borderId="0" xfId="0" quotePrefix="1" applyAlignment="1">
      <alignment horizontal="left"/>
    </xf>
    <xf numFmtId="165" fontId="2" fillId="4" borderId="0" xfId="1" applyNumberFormat="1" applyFont="1" applyFill="1" applyProtection="1">
      <protection locked="0"/>
    </xf>
    <xf numFmtId="165" fontId="2" fillId="4" borderId="0" xfId="1" applyNumberFormat="1" applyFont="1" applyFill="1" applyAlignment="1" applyProtection="1">
      <protection locked="0"/>
    </xf>
    <xf numFmtId="0" fontId="3" fillId="2" borderId="0" xfId="0" applyFont="1" applyFill="1" applyAlignment="1">
      <alignment horizontal="center" vertical="center" wrapText="1"/>
    </xf>
    <xf numFmtId="1" fontId="0" fillId="0" borderId="10" xfId="1" applyNumberFormat="1" applyFont="1" applyBorder="1"/>
    <xf numFmtId="0" fontId="0" fillId="0" borderId="12" xfId="0" applyBorder="1"/>
    <xf numFmtId="0" fontId="0" fillId="0" borderId="11" xfId="0" applyBorder="1"/>
    <xf numFmtId="0" fontId="0" fillId="0" borderId="10" xfId="0" applyBorder="1"/>
    <xf numFmtId="165" fontId="0" fillId="0" borderId="9" xfId="1" applyNumberFormat="1" applyFont="1" applyFill="1" applyBorder="1"/>
    <xf numFmtId="165" fontId="0" fillId="0" borderId="9" xfId="1" applyNumberFormat="1" applyFont="1" applyBorder="1" applyAlignment="1"/>
    <xf numFmtId="165" fontId="0" fillId="0" borderId="0" xfId="1" applyNumberFormat="1" applyFont="1" applyBorder="1" applyAlignment="1"/>
    <xf numFmtId="165" fontId="0" fillId="0" borderId="14" xfId="1" applyNumberFormat="1" applyFont="1" applyBorder="1"/>
    <xf numFmtId="165" fontId="2" fillId="0" borderId="13" xfId="1" applyNumberFormat="1" applyFont="1" applyBorder="1" applyAlignment="1">
      <alignment horizontal="center"/>
    </xf>
    <xf numFmtId="165" fontId="0" fillId="6" borderId="0" xfId="1" applyNumberFormat="1" applyFont="1" applyFill="1"/>
    <xf numFmtId="165" fontId="0" fillId="6" borderId="5" xfId="1" applyNumberFormat="1" applyFont="1" applyFill="1" applyBorder="1"/>
    <xf numFmtId="165" fontId="0" fillId="6" borderId="0" xfId="1" applyNumberFormat="1" applyFont="1" applyFill="1" applyBorder="1"/>
    <xf numFmtId="0" fontId="0" fillId="0" borderId="0" xfId="0" applyAlignment="1">
      <alignment horizontal="right"/>
    </xf>
    <xf numFmtId="168" fontId="0" fillId="6" borderId="0" xfId="1" applyNumberFormat="1" applyFont="1" applyFill="1" applyAlignment="1">
      <alignment vertical="center"/>
    </xf>
    <xf numFmtId="168" fontId="0" fillId="6" borderId="0" xfId="1" applyNumberFormat="1" applyFont="1" applyFill="1" applyBorder="1" applyAlignment="1">
      <alignment horizontal="right" vertical="center"/>
    </xf>
    <xf numFmtId="168" fontId="0" fillId="6" borderId="5" xfId="1" applyNumberFormat="1" applyFont="1" applyFill="1" applyBorder="1" applyAlignment="1">
      <alignment horizontal="right" vertical="center"/>
    </xf>
    <xf numFmtId="168" fontId="0" fillId="6" borderId="0" xfId="1" applyNumberFormat="1" applyFont="1" applyFill="1" applyAlignment="1">
      <alignment horizontal="right" vertical="center"/>
    </xf>
    <xf numFmtId="0" fontId="0" fillId="6" borderId="0" xfId="0" applyFill="1"/>
    <xf numFmtId="1" fontId="0" fillId="6" borderId="0" xfId="1" applyNumberFormat="1" applyFont="1" applyFill="1" applyAlignment="1">
      <alignment horizontal="right" vertical="center"/>
    </xf>
    <xf numFmtId="168" fontId="0" fillId="0" borderId="0" xfId="1" applyNumberFormat="1" applyFont="1" applyFill="1" applyAlignment="1">
      <alignment horizontal="right" vertical="center"/>
    </xf>
    <xf numFmtId="165" fontId="0" fillId="0" borderId="1" xfId="1" applyNumberFormat="1" applyFont="1" applyBorder="1" applyAlignment="1">
      <alignment horizontal="right" wrapText="1" indent="1"/>
    </xf>
    <xf numFmtId="168" fontId="0" fillId="0" borderId="0" xfId="1" applyNumberFormat="1" applyFont="1" applyBorder="1" applyAlignment="1">
      <alignment horizontal="right"/>
    </xf>
    <xf numFmtId="168" fontId="5" fillId="6" borderId="0" xfId="1" applyNumberFormat="1" applyFont="1" applyFill="1" applyBorder="1" applyAlignment="1">
      <alignment horizontal="right" vertical="center"/>
    </xf>
    <xf numFmtId="165" fontId="0" fillId="0" borderId="4" xfId="1" applyNumberFormat="1" applyFont="1" applyBorder="1" applyAlignment="1">
      <alignment horizontal="right" vertical="center" wrapText="1" indent="1"/>
    </xf>
    <xf numFmtId="168" fontId="0" fillId="6" borderId="3" xfId="1" applyNumberFormat="1" applyFont="1" applyFill="1" applyBorder="1" applyAlignment="1">
      <alignment horizontal="right" vertical="center"/>
    </xf>
    <xf numFmtId="165" fontId="0" fillId="0" borderId="18" xfId="1" applyNumberFormat="1" applyFont="1" applyBorder="1" applyAlignment="1">
      <alignment horizontal="right" vertical="center" wrapText="1" indent="1"/>
    </xf>
    <xf numFmtId="168" fontId="0" fillId="6" borderId="15" xfId="1" applyNumberFormat="1" applyFont="1" applyFill="1" applyBorder="1" applyAlignment="1">
      <alignment horizontal="right" vertical="center"/>
    </xf>
    <xf numFmtId="1" fontId="0" fillId="0" borderId="0" xfId="1" applyNumberFormat="1" applyFont="1" applyBorder="1" applyAlignment="1" applyProtection="1">
      <alignment horizontal="right" vertical="center"/>
      <protection locked="0"/>
    </xf>
    <xf numFmtId="0" fontId="0" fillId="0" borderId="0" xfId="0" applyAlignment="1">
      <alignment horizontal="left" vertical="center" wrapText="1"/>
    </xf>
    <xf numFmtId="0" fontId="0" fillId="0" borderId="0" xfId="0" applyAlignment="1">
      <alignment horizontal="left" vertical="center"/>
    </xf>
    <xf numFmtId="165" fontId="2" fillId="4" borderId="5" xfId="1" applyNumberFormat="1" applyFont="1" applyFill="1" applyBorder="1" applyAlignment="1" applyProtection="1">
      <protection locked="0"/>
    </xf>
    <xf numFmtId="9" fontId="0" fillId="4" borderId="5" xfId="2" applyFont="1" applyFill="1" applyBorder="1" applyAlignment="1" applyProtection="1">
      <alignment horizontal="right"/>
      <protection locked="0"/>
    </xf>
    <xf numFmtId="0" fontId="3" fillId="2" borderId="3" xfId="0" applyFont="1" applyFill="1" applyBorder="1" applyAlignment="1">
      <alignment vertical="center" wrapText="1"/>
    </xf>
    <xf numFmtId="165" fontId="0" fillId="0" borderId="4" xfId="1" applyNumberFormat="1" applyFont="1" applyBorder="1" applyAlignment="1">
      <alignment horizontal="right" vertical="center" wrapText="1"/>
    </xf>
    <xf numFmtId="168" fontId="0" fillId="0" borderId="3" xfId="1" applyNumberFormat="1" applyFont="1" applyBorder="1" applyAlignment="1">
      <alignment horizontal="right" vertical="center"/>
    </xf>
    <xf numFmtId="165" fontId="0" fillId="0" borderId="1" xfId="1" applyNumberFormat="1" applyFont="1" applyFill="1" applyBorder="1" applyAlignment="1">
      <alignment horizontal="right" vertical="center" wrapText="1"/>
    </xf>
    <xf numFmtId="168" fontId="0" fillId="0" borderId="0" xfId="1" applyNumberFormat="1" applyFont="1" applyBorder="1" applyAlignment="1">
      <alignment horizontal="right" vertical="center"/>
    </xf>
    <xf numFmtId="165" fontId="0" fillId="0" borderId="1" xfId="1" applyNumberFormat="1" applyFont="1" applyBorder="1" applyAlignment="1">
      <alignment horizontal="right" vertical="center" wrapText="1"/>
    </xf>
    <xf numFmtId="168" fontId="0" fillId="0" borderId="0" xfId="1" applyNumberFormat="1" applyFont="1" applyBorder="1" applyAlignment="1">
      <alignment vertical="center"/>
    </xf>
    <xf numFmtId="165" fontId="0" fillId="0" borderId="19" xfId="1" applyNumberFormat="1" applyFont="1" applyBorder="1" applyAlignment="1">
      <alignment horizontal="right" vertical="center" wrapText="1"/>
    </xf>
    <xf numFmtId="168" fontId="0" fillId="0" borderId="20" xfId="1" applyNumberFormat="1" applyFont="1" applyBorder="1" applyAlignment="1">
      <alignment horizontal="right" vertical="center"/>
    </xf>
    <xf numFmtId="165" fontId="5" fillId="0" borderId="1" xfId="1" applyNumberFormat="1" applyFont="1" applyBorder="1" applyAlignment="1">
      <alignment horizontal="right" vertical="center" wrapText="1"/>
    </xf>
    <xf numFmtId="168" fontId="5" fillId="0" borderId="0" xfId="1" applyNumberFormat="1" applyFont="1" applyAlignment="1">
      <alignment horizontal="right" vertical="center"/>
    </xf>
    <xf numFmtId="165" fontId="2" fillId="0" borderId="1" xfId="1" applyNumberFormat="1" applyFont="1" applyBorder="1" applyAlignment="1">
      <alignment horizontal="right" vertical="center" wrapText="1"/>
    </xf>
    <xf numFmtId="168" fontId="0" fillId="0" borderId="0" xfId="1" applyNumberFormat="1" applyFont="1" applyAlignment="1">
      <alignment horizontal="right" vertical="center"/>
    </xf>
    <xf numFmtId="0" fontId="3" fillId="2" borderId="5" xfId="0" applyFont="1" applyFill="1" applyBorder="1" applyAlignment="1">
      <alignment vertical="center" wrapText="1"/>
    </xf>
    <xf numFmtId="165" fontId="0" fillId="0" borderId="5" xfId="1" applyNumberFormat="1" applyFont="1" applyBorder="1" applyAlignment="1">
      <alignment horizontal="right" vertical="center" wrapText="1" indent="1"/>
    </xf>
    <xf numFmtId="168" fontId="0" fillId="0" borderId="5" xfId="1" applyNumberFormat="1" applyFont="1" applyBorder="1" applyAlignment="1">
      <alignment horizontal="right" vertical="center"/>
    </xf>
    <xf numFmtId="165" fontId="0" fillId="0" borderId="0" xfId="1" applyNumberFormat="1" applyFont="1" applyBorder="1" applyAlignment="1">
      <alignment horizontal="left" vertical="center" wrapText="1"/>
    </xf>
    <xf numFmtId="165" fontId="0" fillId="0" borderId="0" xfId="1" applyNumberFormat="1" applyFont="1" applyFill="1" applyBorder="1" applyAlignment="1">
      <alignment horizontal="left" vertical="center" wrapText="1"/>
    </xf>
    <xf numFmtId="0" fontId="0" fillId="0" borderId="0" xfId="0" applyAlignment="1">
      <alignment vertical="center" wrapText="1"/>
    </xf>
    <xf numFmtId="170" fontId="0" fillId="0" borderId="0" xfId="2" applyNumberFormat="1" applyFont="1"/>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6" fillId="0" borderId="0" xfId="0" applyFont="1" applyAlignment="1">
      <alignment horizontal="center" vertical="center"/>
    </xf>
    <xf numFmtId="0" fontId="0" fillId="0" borderId="0" xfId="0" quotePrefix="1" applyAlignment="1">
      <alignment horizontal="left"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15" xfId="0" applyFont="1" applyFill="1" applyBorder="1" applyAlignment="1">
      <alignment horizontal="center" vertical="center" wrapText="1"/>
    </xf>
    <xf numFmtId="165" fontId="0" fillId="0" borderId="9" xfId="1" applyNumberFormat="1" applyFont="1" applyBorder="1" applyAlignment="1">
      <alignment horizontal="left"/>
    </xf>
    <xf numFmtId="165" fontId="0" fillId="0" borderId="0" xfId="1" applyNumberFormat="1" applyFont="1" applyBorder="1" applyAlignment="1">
      <alignment horizontal="left"/>
    </xf>
    <xf numFmtId="165" fontId="0" fillId="0" borderId="5" xfId="1" applyNumberFormat="1" applyFont="1" applyBorder="1" applyAlignment="1">
      <alignment horizontal="center"/>
    </xf>
    <xf numFmtId="165" fontId="2" fillId="0" borderId="13" xfId="1" applyNumberFormat="1" applyFont="1" applyBorder="1" applyAlignment="1">
      <alignment horizontal="left"/>
    </xf>
    <xf numFmtId="165" fontId="2" fillId="0" borderId="14" xfId="1" applyNumberFormat="1" applyFont="1" applyBorder="1" applyAlignment="1">
      <alignment horizontal="left"/>
    </xf>
    <xf numFmtId="165" fontId="4" fillId="4" borderId="0" xfId="1" applyNumberFormat="1" applyFont="1" applyFill="1" applyAlignment="1">
      <alignment horizontal="center"/>
    </xf>
    <xf numFmtId="165" fontId="0" fillId="0" borderId="8" xfId="1" applyNumberFormat="1" applyFont="1" applyBorder="1" applyAlignment="1">
      <alignment horizontal="left"/>
    </xf>
    <xf numFmtId="165" fontId="0" fillId="0" borderId="5" xfId="1" applyNumberFormat="1" applyFont="1" applyBorder="1" applyAlignment="1">
      <alignment horizontal="left"/>
    </xf>
    <xf numFmtId="165" fontId="6" fillId="4" borderId="5" xfId="1" applyNumberFormat="1" applyFont="1" applyFill="1" applyBorder="1" applyAlignment="1">
      <alignment horizontal="center"/>
    </xf>
  </cellXfs>
  <cellStyles count="4">
    <cellStyle name="Hyperlänk" xfId="3" builtinId="8"/>
    <cellStyle name="Normal" xfId="0" builtinId="0"/>
    <cellStyle name="Procent" xfId="2" builtinId="5"/>
    <cellStyle name="Tusental" xfId="1" builtinId="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561975</xdr:colOff>
      <xdr:row>5</xdr:row>
      <xdr:rowOff>133350</xdr:rowOff>
    </xdr:from>
    <xdr:to>
      <xdr:col>13</xdr:col>
      <xdr:colOff>296544</xdr:colOff>
      <xdr:row>10</xdr:row>
      <xdr:rowOff>121734</xdr:rowOff>
    </xdr:to>
    <xdr:pic>
      <xdr:nvPicPr>
        <xdr:cNvPr id="2" name="Picture 1" descr="\\hig-ad\personal\homes\My Pictures\Logotyps\EUlogo_eng_c_RGB.pn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489" r="9489"/>
        <a:stretch/>
      </xdr:blipFill>
      <xdr:spPr bwMode="auto">
        <a:xfrm>
          <a:off x="7324725" y="1285875"/>
          <a:ext cx="953769" cy="95377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291465</xdr:colOff>
      <xdr:row>5</xdr:row>
      <xdr:rowOff>20320</xdr:rowOff>
    </xdr:from>
    <xdr:to>
      <xdr:col>8</xdr:col>
      <xdr:colOff>219075</xdr:colOff>
      <xdr:row>9</xdr:row>
      <xdr:rowOff>178884</xdr:rowOff>
    </xdr:to>
    <xdr:pic>
      <xdr:nvPicPr>
        <xdr:cNvPr id="3" name="Picture 2" descr="\\hig-ad\personal\homes\My Pictures\Logotyps\Region Gävleborg koncernlogotyp_farg.jpg">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5" t="-36011" r="-7" b="-1"/>
        <a:stretch/>
      </xdr:blipFill>
      <xdr:spPr bwMode="auto">
        <a:xfrm>
          <a:off x="3396615" y="1172845"/>
          <a:ext cx="1756411" cy="94297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66675</xdr:colOff>
      <xdr:row>5</xdr:row>
      <xdr:rowOff>140970</xdr:rowOff>
    </xdr:from>
    <xdr:to>
      <xdr:col>11</xdr:col>
      <xdr:colOff>66675</xdr:colOff>
      <xdr:row>10</xdr:row>
      <xdr:rowOff>120464</xdr:rowOff>
    </xdr:to>
    <xdr:pic>
      <xdr:nvPicPr>
        <xdr:cNvPr id="4" name="Bildobjekt 1">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610" r="586"/>
        <a:stretch/>
      </xdr:blipFill>
      <xdr:spPr bwMode="auto">
        <a:xfrm>
          <a:off x="5610225" y="1293495"/>
          <a:ext cx="1219200" cy="94488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561975</xdr:colOff>
      <xdr:row>5</xdr:row>
      <xdr:rowOff>133350</xdr:rowOff>
    </xdr:from>
    <xdr:to>
      <xdr:col>13</xdr:col>
      <xdr:colOff>296544</xdr:colOff>
      <xdr:row>9</xdr:row>
      <xdr:rowOff>216984</xdr:rowOff>
    </xdr:to>
    <xdr:pic>
      <xdr:nvPicPr>
        <xdr:cNvPr id="2" name="Picture 1" descr="\\hig-ad\personal\homes\My Pictures\Logotyps\EUlogo_eng_c_RGB.png">
          <a:extLst>
            <a:ext uri="{FF2B5EF4-FFF2-40B4-BE49-F238E27FC236}">
              <a16:creationId xmlns:a16="http://schemas.microsoft.com/office/drawing/2014/main" id="{19CA0A52-0722-4814-BF5D-9FA339B6AA0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489" r="9489"/>
        <a:stretch/>
      </xdr:blipFill>
      <xdr:spPr bwMode="auto">
        <a:xfrm>
          <a:off x="8258175" y="1363436"/>
          <a:ext cx="1029969" cy="95449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291465</xdr:colOff>
      <xdr:row>5</xdr:row>
      <xdr:rowOff>20320</xdr:rowOff>
    </xdr:from>
    <xdr:to>
      <xdr:col>8</xdr:col>
      <xdr:colOff>219075</xdr:colOff>
      <xdr:row>9</xdr:row>
      <xdr:rowOff>93159</xdr:rowOff>
    </xdr:to>
    <xdr:pic>
      <xdr:nvPicPr>
        <xdr:cNvPr id="3" name="Picture 2" descr="\\hig-ad\personal\homes\My Pictures\Logotyps\Region Gävleborg koncernlogotyp_farg.jpg">
          <a:extLst>
            <a:ext uri="{FF2B5EF4-FFF2-40B4-BE49-F238E27FC236}">
              <a16:creationId xmlns:a16="http://schemas.microsoft.com/office/drawing/2014/main" id="{49B4AF16-5815-4F6B-BDA7-809387331E4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5" t="-36011" r="-7" b="-1"/>
        <a:stretch/>
      </xdr:blipFill>
      <xdr:spPr bwMode="auto">
        <a:xfrm>
          <a:off x="4101465" y="1250406"/>
          <a:ext cx="1870710" cy="94369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66675</xdr:colOff>
      <xdr:row>5</xdr:row>
      <xdr:rowOff>140970</xdr:rowOff>
    </xdr:from>
    <xdr:to>
      <xdr:col>11</xdr:col>
      <xdr:colOff>66675</xdr:colOff>
      <xdr:row>9</xdr:row>
      <xdr:rowOff>215714</xdr:rowOff>
    </xdr:to>
    <xdr:pic>
      <xdr:nvPicPr>
        <xdr:cNvPr id="4" name="Bildobjekt 1">
          <a:extLst>
            <a:ext uri="{FF2B5EF4-FFF2-40B4-BE49-F238E27FC236}">
              <a16:creationId xmlns:a16="http://schemas.microsoft.com/office/drawing/2014/main" id="{7A13E9A6-73BF-4500-B6D9-861790692F17}"/>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610" r="586"/>
        <a:stretch/>
      </xdr:blipFill>
      <xdr:spPr bwMode="auto">
        <a:xfrm>
          <a:off x="6467475" y="1371056"/>
          <a:ext cx="1295400" cy="94560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ortstyrelsen.se/bonusmalus" TargetMode="External"/><Relationship Id="rId7" Type="http://schemas.openxmlformats.org/officeDocument/2006/relationships/drawing" Target="../drawings/drawing1.xml"/><Relationship Id="rId2" Type="http://schemas.openxmlformats.org/officeDocument/2006/relationships/hyperlink" Target="https://www.bilsvar.se/" TargetMode="External"/><Relationship Id="rId1" Type="http://schemas.openxmlformats.org/officeDocument/2006/relationships/hyperlink" Target="https://www.bilsvar.se/" TargetMode="External"/><Relationship Id="rId6" Type="http://schemas.openxmlformats.org/officeDocument/2006/relationships/printerSettings" Target="../printerSettings/printerSettings1.bin"/><Relationship Id="rId5" Type="http://schemas.openxmlformats.org/officeDocument/2006/relationships/hyperlink" Target="https://www.transportstyrelsen.se/bonusmalus" TargetMode="External"/><Relationship Id="rId4" Type="http://schemas.openxmlformats.org/officeDocument/2006/relationships/hyperlink" Target="https://www.bilsvar.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9"/>
  <sheetViews>
    <sheetView showGridLines="0" topLeftCell="A7" zoomScale="70" zoomScaleNormal="70" workbookViewId="0">
      <selection activeCell="V18" sqref="V18"/>
    </sheetView>
  </sheetViews>
  <sheetFormatPr defaultColWidth="0" defaultRowHeight="0" customHeight="1" zeroHeight="1"/>
  <cols>
    <col min="1" max="1" width="6.7109375" customWidth="1"/>
    <col min="2" max="2" width="19.7109375" customWidth="1"/>
    <col min="3" max="15" width="9.140625" customWidth="1"/>
    <col min="16" max="16" width="17.42578125" bestFit="1" customWidth="1"/>
    <col min="17" max="17" width="9.140625" customWidth="1"/>
    <col min="18" max="18" width="23.42578125" bestFit="1" customWidth="1"/>
    <col min="19" max="19" width="10.42578125" customWidth="1"/>
    <col min="20" max="20" width="5.28515625" customWidth="1"/>
    <col min="21" max="21" width="10.140625" bestFit="1" customWidth="1"/>
    <col min="22" max="25" width="9.140625" customWidth="1"/>
    <col min="26" max="27" width="10" customWidth="1"/>
    <col min="28" max="31" width="9.140625" customWidth="1"/>
    <col min="32" max="16384" width="9.140625" hidden="1"/>
  </cols>
  <sheetData>
    <row r="1" spans="1:30" ht="19.5" customHeight="1">
      <c r="P1" s="30"/>
    </row>
    <row r="2" spans="1:30" ht="26.1">
      <c r="B2" s="31" t="s">
        <v>0</v>
      </c>
      <c r="C2" s="32"/>
      <c r="D2" s="32"/>
      <c r="P2" s="30"/>
      <c r="R2" s="33" t="s">
        <v>1</v>
      </c>
      <c r="S2" s="34" t="s">
        <v>2</v>
      </c>
      <c r="T2" s="32"/>
      <c r="U2" s="32"/>
      <c r="V2" s="32"/>
      <c r="W2" s="32"/>
      <c r="X2" s="32"/>
    </row>
    <row r="3" spans="1:30" ht="14.65">
      <c r="P3" s="30"/>
      <c r="S3" t="s">
        <v>3</v>
      </c>
    </row>
    <row r="4" spans="1:30" ht="14.65">
      <c r="B4" t="s">
        <v>4</v>
      </c>
      <c r="P4" s="30"/>
      <c r="S4" t="s">
        <v>5</v>
      </c>
    </row>
    <row r="5" spans="1:30" ht="14.65">
      <c r="B5" t="s">
        <v>6</v>
      </c>
      <c r="P5" s="30"/>
    </row>
    <row r="6" spans="1:30" ht="14.65">
      <c r="B6" s="35" t="s">
        <v>7</v>
      </c>
      <c r="P6" s="30"/>
      <c r="R6" t="s">
        <v>8</v>
      </c>
      <c r="S6" t="s">
        <v>9</v>
      </c>
      <c r="AA6" s="53" t="s">
        <v>10</v>
      </c>
    </row>
    <row r="7" spans="1:30" ht="14.65">
      <c r="P7" s="30"/>
    </row>
    <row r="8" spans="1:30" ht="15.75" customHeight="1">
      <c r="P8" s="30"/>
      <c r="R8" t="s">
        <v>11</v>
      </c>
      <c r="S8" t="s">
        <v>12</v>
      </c>
      <c r="AA8" s="38" t="s">
        <v>13</v>
      </c>
    </row>
    <row r="9" spans="1:30" ht="14.65">
      <c r="P9" s="30"/>
      <c r="S9" t="s">
        <v>14</v>
      </c>
    </row>
    <row r="10" spans="1:30" ht="14.65">
      <c r="P10" s="30"/>
      <c r="S10" s="139" t="s">
        <v>15</v>
      </c>
      <c r="T10" s="139"/>
      <c r="U10" s="139"/>
      <c r="V10" s="139"/>
      <c r="W10" s="139"/>
      <c r="X10" s="139"/>
      <c r="Y10" s="139"/>
      <c r="Z10" s="139"/>
      <c r="AA10" s="139"/>
      <c r="AB10" s="139"/>
      <c r="AC10" s="139"/>
      <c r="AD10" s="139"/>
    </row>
    <row r="11" spans="1:30" ht="32.25" customHeight="1" thickBot="1">
      <c r="A11" s="36"/>
      <c r="B11" s="36"/>
      <c r="C11" s="36"/>
      <c r="D11" s="36"/>
      <c r="E11" s="36"/>
      <c r="F11" s="36"/>
      <c r="G11" s="36"/>
      <c r="H11" s="36"/>
      <c r="I11" s="36"/>
      <c r="J11" s="36"/>
      <c r="K11" s="36"/>
      <c r="L11" s="36"/>
      <c r="M11" s="36"/>
      <c r="N11" s="36"/>
      <c r="O11" s="36"/>
      <c r="P11" s="37"/>
      <c r="S11" s="139"/>
      <c r="T11" s="139"/>
      <c r="U11" s="139"/>
      <c r="V11" s="139"/>
      <c r="W11" s="139"/>
      <c r="X11" s="139"/>
      <c r="Y11" s="139"/>
      <c r="Z11" s="139"/>
      <c r="AA11" s="139"/>
      <c r="AB11" s="139"/>
      <c r="AC11" s="139"/>
      <c r="AD11" s="139"/>
    </row>
    <row r="12" spans="1:30" ht="11.25" customHeight="1" thickTop="1">
      <c r="S12" s="49"/>
      <c r="T12" s="49"/>
      <c r="U12" s="49"/>
      <c r="V12" s="49"/>
      <c r="W12" s="49"/>
      <c r="X12" s="49"/>
      <c r="Y12" s="49"/>
      <c r="Z12" s="49"/>
      <c r="AA12" s="49"/>
      <c r="AB12" s="49"/>
      <c r="AC12" s="49"/>
    </row>
    <row r="13" spans="1:30" ht="23.1">
      <c r="B13" s="33" t="s">
        <v>16</v>
      </c>
      <c r="C13" s="34" t="s">
        <v>17</v>
      </c>
      <c r="D13" s="32"/>
      <c r="E13" s="32"/>
      <c r="F13" s="32"/>
      <c r="G13" s="32"/>
      <c r="H13" s="32"/>
      <c r="I13" s="32"/>
      <c r="J13" s="32"/>
      <c r="R13" t="s">
        <v>18</v>
      </c>
      <c r="S13" s="50" t="s">
        <v>19</v>
      </c>
      <c r="T13" s="49"/>
      <c r="U13" s="49"/>
      <c r="V13" s="49"/>
      <c r="W13" s="49"/>
      <c r="X13" s="49"/>
      <c r="Y13" s="49"/>
      <c r="Z13" s="49"/>
      <c r="AA13" s="49"/>
      <c r="AB13" s="49"/>
      <c r="AC13" s="49"/>
    </row>
    <row r="14" spans="1:30" ht="23.25" customHeight="1">
      <c r="B14" t="s">
        <v>20</v>
      </c>
      <c r="C14" t="s">
        <v>21</v>
      </c>
      <c r="S14" s="41" t="s">
        <v>22</v>
      </c>
    </row>
    <row r="15" spans="1:30" ht="14.65">
      <c r="C15" t="s">
        <v>23</v>
      </c>
    </row>
    <row r="16" spans="1:30" ht="14.65">
      <c r="R16" t="s">
        <v>24</v>
      </c>
      <c r="S16" t="s">
        <v>25</v>
      </c>
    </row>
    <row r="17" spans="2:29" ht="14.65">
      <c r="B17" t="s">
        <v>26</v>
      </c>
      <c r="C17" t="s">
        <v>27</v>
      </c>
      <c r="S17" t="s">
        <v>28</v>
      </c>
    </row>
    <row r="18" spans="2:29" ht="14.65">
      <c r="C18" t="s">
        <v>29</v>
      </c>
      <c r="S18" t="s">
        <v>30</v>
      </c>
    </row>
    <row r="19" spans="2:29" ht="14.65"/>
    <row r="20" spans="2:29" ht="14.65">
      <c r="B20" t="s">
        <v>31</v>
      </c>
      <c r="C20" t="s">
        <v>32</v>
      </c>
      <c r="R20" t="s">
        <v>33</v>
      </c>
      <c r="S20" t="s">
        <v>34</v>
      </c>
    </row>
    <row r="21" spans="2:29" ht="14.65">
      <c r="C21" t="s">
        <v>35</v>
      </c>
      <c r="S21" t="s">
        <v>36</v>
      </c>
    </row>
    <row r="22" spans="2:29" ht="14.65">
      <c r="C22" t="s">
        <v>37</v>
      </c>
      <c r="S22" t="s">
        <v>38</v>
      </c>
      <c r="U22" s="38" t="s">
        <v>13</v>
      </c>
      <c r="V22" t="s">
        <v>39</v>
      </c>
    </row>
    <row r="23" spans="2:29" ht="15" customHeight="1">
      <c r="R23" t="s">
        <v>40</v>
      </c>
      <c r="S23" s="38" t="s">
        <v>13</v>
      </c>
      <c r="T23" t="s">
        <v>41</v>
      </c>
    </row>
    <row r="24" spans="2:29" ht="16.5" customHeight="1">
      <c r="B24" s="33" t="s">
        <v>42</v>
      </c>
      <c r="C24" s="34" t="s">
        <v>43</v>
      </c>
      <c r="D24" s="32"/>
      <c r="E24" s="32"/>
      <c r="F24" s="32"/>
      <c r="G24" s="32"/>
      <c r="H24" s="32"/>
      <c r="I24" s="32"/>
      <c r="J24" s="32"/>
    </row>
    <row r="25" spans="2:29" ht="21.75" customHeight="1">
      <c r="B25" s="42"/>
      <c r="C25" t="s">
        <v>44</v>
      </c>
      <c r="R25" s="39" t="s">
        <v>45</v>
      </c>
      <c r="S25" s="140" t="s">
        <v>46</v>
      </c>
      <c r="T25" s="137" t="s">
        <v>47</v>
      </c>
      <c r="U25" s="138"/>
      <c r="V25" s="138"/>
      <c r="W25" s="138"/>
      <c r="X25" s="138"/>
      <c r="Y25" s="138"/>
      <c r="Z25" s="138"/>
      <c r="AA25" s="138"/>
      <c r="AB25" s="138"/>
    </row>
    <row r="26" spans="2:29" ht="23.25" customHeight="1">
      <c r="R26" s="40" t="s">
        <v>48</v>
      </c>
      <c r="S26" s="140"/>
      <c r="T26" s="138"/>
      <c r="U26" s="138"/>
      <c r="V26" s="138"/>
      <c r="W26" s="138"/>
      <c r="X26" s="138"/>
      <c r="Y26" s="138"/>
      <c r="Z26" s="138"/>
      <c r="AA26" s="138"/>
      <c r="AB26" s="138"/>
    </row>
    <row r="27" spans="2:29" ht="23.1">
      <c r="B27" s="33" t="s">
        <v>49</v>
      </c>
      <c r="C27" s="34" t="s">
        <v>50</v>
      </c>
      <c r="D27" s="32"/>
      <c r="E27" s="32"/>
      <c r="F27" s="32"/>
      <c r="G27" s="32"/>
      <c r="H27" s="32"/>
      <c r="I27" s="32"/>
      <c r="J27" s="32"/>
      <c r="T27" s="139" t="s">
        <v>51</v>
      </c>
      <c r="U27" s="139"/>
      <c r="V27" s="139"/>
      <c r="W27" s="139"/>
      <c r="X27" s="139"/>
      <c r="Y27" s="139"/>
      <c r="Z27" s="139"/>
      <c r="AA27" s="139"/>
      <c r="AB27" s="139"/>
      <c r="AC27" s="139"/>
    </row>
    <row r="28" spans="2:29" ht="23.25" customHeight="1">
      <c r="B28" t="s">
        <v>52</v>
      </c>
      <c r="C28" t="s">
        <v>53</v>
      </c>
      <c r="T28" s="139"/>
      <c r="U28" s="139"/>
      <c r="V28" s="139"/>
      <c r="W28" s="139"/>
      <c r="X28" s="139"/>
      <c r="Y28" s="139"/>
      <c r="Z28" s="139"/>
      <c r="AA28" s="139"/>
      <c r="AB28" s="139"/>
      <c r="AC28" s="139"/>
    </row>
    <row r="29" spans="2:29" ht="14.65">
      <c r="C29" t="s">
        <v>54</v>
      </c>
      <c r="T29" t="s">
        <v>55</v>
      </c>
    </row>
    <row r="30" spans="2:29" ht="14.65">
      <c r="C30" t="s">
        <v>56</v>
      </c>
      <c r="T30" s="40" t="s">
        <v>57</v>
      </c>
    </row>
    <row r="31" spans="2:29" ht="14.65">
      <c r="T31" t="s">
        <v>58</v>
      </c>
    </row>
    <row r="32" spans="2:29" ht="23.1">
      <c r="C32" t="s">
        <v>59</v>
      </c>
      <c r="R32" s="33" t="s">
        <v>60</v>
      </c>
      <c r="S32" s="34" t="s">
        <v>61</v>
      </c>
      <c r="T32" s="32"/>
      <c r="U32" s="32"/>
      <c r="V32" s="32"/>
      <c r="W32" s="32"/>
      <c r="X32" s="32"/>
    </row>
    <row r="33" spans="2:29" ht="14.65">
      <c r="C33" t="s">
        <v>62</v>
      </c>
      <c r="S33" t="s">
        <v>63</v>
      </c>
    </row>
    <row r="34" spans="2:29" ht="14.65">
      <c r="C34" t="s">
        <v>64</v>
      </c>
      <c r="S34" t="s">
        <v>65</v>
      </c>
    </row>
    <row r="35" spans="2:29" ht="14.65">
      <c r="S35" t="s">
        <v>66</v>
      </c>
    </row>
    <row r="36" spans="2:29" ht="14.65">
      <c r="B36" t="s">
        <v>67</v>
      </c>
      <c r="C36" t="s">
        <v>68</v>
      </c>
      <c r="S36" t="s">
        <v>69</v>
      </c>
    </row>
    <row r="37" spans="2:29" ht="14.65">
      <c r="C37" t="s">
        <v>70</v>
      </c>
    </row>
    <row r="38" spans="2:29" ht="14.65">
      <c r="C38" t="s">
        <v>71</v>
      </c>
      <c r="R38" s="51" t="s">
        <v>72</v>
      </c>
      <c r="S38" s="80" t="s">
        <v>73</v>
      </c>
    </row>
    <row r="39" spans="2:29" ht="22.5" customHeight="1">
      <c r="R39" s="52" t="s">
        <v>74</v>
      </c>
      <c r="S39" t="s">
        <v>75</v>
      </c>
    </row>
    <row r="40" spans="2:29" ht="14.65">
      <c r="B40" t="s">
        <v>76</v>
      </c>
      <c r="C40" t="s">
        <v>77</v>
      </c>
      <c r="R40" s="52" t="s">
        <v>78</v>
      </c>
      <c r="S40" s="41" t="s">
        <v>79</v>
      </c>
      <c r="T40" s="41"/>
      <c r="U40" s="41"/>
      <c r="V40" s="41"/>
      <c r="W40" s="41"/>
      <c r="X40" s="41"/>
      <c r="Y40" s="41"/>
      <c r="Z40" s="41"/>
      <c r="AA40" s="41"/>
      <c r="AB40" s="53" t="s">
        <v>10</v>
      </c>
      <c r="AC40" s="41"/>
    </row>
    <row r="41" spans="2:29" ht="14.65">
      <c r="C41" t="s">
        <v>80</v>
      </c>
    </row>
    <row r="42" spans="2:29" ht="14.65">
      <c r="C42" t="s">
        <v>81</v>
      </c>
      <c r="R42" s="52" t="s">
        <v>82</v>
      </c>
      <c r="S42" t="s">
        <v>83</v>
      </c>
    </row>
    <row r="43" spans="2:29" ht="14.65">
      <c r="R43" s="52" t="s">
        <v>84</v>
      </c>
      <c r="S43" t="s">
        <v>85</v>
      </c>
    </row>
    <row r="44" spans="2:29" ht="14.65">
      <c r="R44" s="52" t="s">
        <v>86</v>
      </c>
      <c r="S44" s="80" t="s">
        <v>87</v>
      </c>
    </row>
    <row r="45" spans="2:29" ht="14.65">
      <c r="R45" s="52"/>
      <c r="S45" s="141" t="s">
        <v>88</v>
      </c>
      <c r="T45" s="139"/>
      <c r="U45" s="139"/>
      <c r="V45" s="139"/>
      <c r="W45" s="139"/>
      <c r="X45" s="139"/>
      <c r="Y45" s="139"/>
      <c r="Z45" s="139"/>
      <c r="AA45" s="139"/>
      <c r="AB45" s="139"/>
      <c r="AC45" s="139"/>
    </row>
    <row r="46" spans="2:29" ht="14.65">
      <c r="S46" s="139"/>
      <c r="T46" s="139"/>
      <c r="U46" s="139"/>
      <c r="V46" s="139"/>
      <c r="W46" s="139"/>
      <c r="X46" s="139"/>
      <c r="Y46" s="139"/>
      <c r="Z46" s="139"/>
      <c r="AA46" s="139"/>
      <c r="AB46" s="139"/>
      <c r="AC46" s="139"/>
    </row>
    <row r="47" spans="2:29" ht="14.65">
      <c r="S47" s="81" t="s">
        <v>89</v>
      </c>
      <c r="T47" s="49"/>
      <c r="U47" s="49"/>
      <c r="V47" s="49"/>
      <c r="W47" s="49"/>
      <c r="X47" s="49"/>
      <c r="Y47" s="49"/>
      <c r="Z47" s="49"/>
      <c r="AA47" s="49"/>
      <c r="AB47" s="49"/>
      <c r="AC47" s="49"/>
    </row>
    <row r="48" spans="2:29" ht="14.65">
      <c r="S48" s="50" t="s">
        <v>90</v>
      </c>
      <c r="T48" s="49"/>
      <c r="U48" s="49"/>
      <c r="V48" s="49"/>
      <c r="W48" s="49"/>
      <c r="X48" s="49"/>
      <c r="Y48" s="49"/>
      <c r="Z48" s="49"/>
      <c r="AA48" s="49"/>
      <c r="AB48" s="49"/>
      <c r="AC48" s="49"/>
    </row>
    <row r="49" ht="14.65"/>
    <row r="50" ht="14.65" hidden="1"/>
    <row r="51" ht="14.65" hidden="1"/>
    <row r="52" ht="14.65" hidden="1"/>
    <row r="53" ht="14.65" hidden="1"/>
    <row r="54" ht="14.65" hidden="1"/>
    <row r="55" ht="14.65" hidden="1"/>
    <row r="56" ht="14.65" hidden="1"/>
    <row r="57" ht="14.65" hidden="1"/>
    <row r="58" ht="14.65" hidden="1"/>
    <row r="59" ht="14.65" hidden="1"/>
    <row r="60" ht="14.65" hidden="1"/>
    <row r="61" ht="14.65" hidden="1"/>
    <row r="62" ht="14.65" hidden="1"/>
    <row r="63" ht="14.65" hidden="1"/>
    <row r="64" ht="14.65" hidden="1"/>
    <row r="65" ht="14.65" hidden="1"/>
    <row r="66" ht="14.65" hidden="1"/>
    <row r="67" ht="14.65" hidden="1"/>
    <row r="68" ht="14.65" hidden="1"/>
    <row r="69" ht="14.65" hidden="1"/>
    <row r="70" ht="14.65" hidden="1"/>
    <row r="71" ht="14.65" hidden="1"/>
    <row r="72" ht="14.65" hidden="1"/>
    <row r="73" ht="14.65" hidden="1"/>
    <row r="74" ht="14.65" hidden="1"/>
    <row r="75" ht="14.65" hidden="1"/>
    <row r="76" ht="14.65" hidden="1"/>
    <row r="77" ht="15" hidden="1" customHeight="1"/>
    <row r="78" ht="15" hidden="1" customHeight="1"/>
    <row r="79" ht="15" hidden="1" customHeight="1"/>
  </sheetData>
  <mergeCells count="5">
    <mergeCell ref="T25:AB26"/>
    <mergeCell ref="S10:AD11"/>
    <mergeCell ref="T27:AC28"/>
    <mergeCell ref="S25:S26"/>
    <mergeCell ref="S45:AC46"/>
  </mergeCells>
  <hyperlinks>
    <hyperlink ref="U22" r:id="rId1" xr:uid="{00000000-0004-0000-0000-000000000000}"/>
    <hyperlink ref="S23" r:id="rId2" xr:uid="{00000000-0004-0000-0000-000001000000}"/>
    <hyperlink ref="AB40" r:id="rId3" xr:uid="{00000000-0004-0000-0000-000002000000}"/>
    <hyperlink ref="AA8" r:id="rId4" xr:uid="{00000000-0004-0000-0000-000003000000}"/>
    <hyperlink ref="AA6" r:id="rId5" xr:uid="{00000000-0004-0000-0000-000004000000}"/>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69"/>
  <sheetViews>
    <sheetView showGridLines="0" showZeros="0" tabSelected="1" topLeftCell="A19" zoomScale="85" zoomScaleNormal="85" workbookViewId="0">
      <selection activeCell="M26" sqref="M26"/>
    </sheetView>
  </sheetViews>
  <sheetFormatPr defaultColWidth="0" defaultRowHeight="18.75" customHeight="1" zeroHeight="1"/>
  <cols>
    <col min="1" max="1" width="20" customWidth="1"/>
    <col min="2" max="2" width="39.42578125" bestFit="1" customWidth="1"/>
    <col min="3" max="4" width="22.28515625" bestFit="1" customWidth="1"/>
    <col min="5" max="13" width="18.140625" customWidth="1"/>
    <col min="14" max="14" width="1.5703125" hidden="1" customWidth="1"/>
    <col min="15" max="15" width="25.85546875" hidden="1" customWidth="1"/>
    <col min="16" max="16" width="16.42578125" hidden="1" customWidth="1"/>
    <col min="17" max="40" width="16.85546875" hidden="1" customWidth="1"/>
    <col min="41" max="16384" width="9.140625" hidden="1"/>
  </cols>
  <sheetData>
    <row r="1" spans="1:25" ht="18.75" customHeight="1">
      <c r="A1" s="54" t="s">
        <v>16</v>
      </c>
      <c r="B1" s="14"/>
      <c r="C1" s="60"/>
      <c r="D1" s="60"/>
      <c r="E1" s="61" t="s">
        <v>42</v>
      </c>
      <c r="F1" s="60"/>
      <c r="G1" s="60"/>
      <c r="H1" s="60"/>
      <c r="I1" s="61" t="s">
        <v>49</v>
      </c>
      <c r="J1" s="60"/>
      <c r="K1" s="60"/>
      <c r="L1" s="60"/>
      <c r="M1" s="60"/>
      <c r="N1" s="1"/>
      <c r="O1" s="1"/>
      <c r="P1" s="1"/>
      <c r="Q1" s="1"/>
      <c r="R1" s="1"/>
      <c r="S1" s="1"/>
      <c r="T1" s="1"/>
    </row>
    <row r="2" spans="1:25" ht="18.75" customHeight="1">
      <c r="A2" s="154" t="s">
        <v>91</v>
      </c>
      <c r="B2" s="154"/>
      <c r="C2" s="62"/>
      <c r="D2" s="60"/>
      <c r="E2" s="63" t="s">
        <v>92</v>
      </c>
      <c r="F2" s="63" t="s">
        <v>93</v>
      </c>
      <c r="G2" s="63" t="s">
        <v>94</v>
      </c>
      <c r="H2" s="60"/>
      <c r="I2" s="83" t="s">
        <v>52</v>
      </c>
      <c r="J2" s="64">
        <v>0.04</v>
      </c>
      <c r="K2" s="60"/>
      <c r="L2" s="60"/>
      <c r="M2" s="60"/>
      <c r="N2" s="1"/>
      <c r="O2" s="26" t="s">
        <v>95</v>
      </c>
      <c r="P2" s="92" t="s">
        <v>96</v>
      </c>
      <c r="Q2" s="45" t="s">
        <v>97</v>
      </c>
      <c r="W2" s="149" t="s">
        <v>98</v>
      </c>
      <c r="X2" s="150"/>
      <c r="Y2" s="27" t="s">
        <v>99</v>
      </c>
    </row>
    <row r="3" spans="1:25" ht="18.75" customHeight="1">
      <c r="A3" s="151" t="s">
        <v>100</v>
      </c>
      <c r="B3" s="151"/>
      <c r="C3" s="65">
        <v>1500</v>
      </c>
      <c r="D3" s="60"/>
      <c r="E3" s="66" t="s">
        <v>101</v>
      </c>
      <c r="F3" s="67">
        <v>1.9</v>
      </c>
      <c r="G3" s="60" t="s">
        <v>102</v>
      </c>
      <c r="H3" s="60"/>
      <c r="I3" s="83" t="s">
        <v>67</v>
      </c>
      <c r="J3" s="68">
        <v>0.04</v>
      </c>
      <c r="K3" s="60"/>
      <c r="L3" s="60"/>
      <c r="M3" s="60"/>
      <c r="N3" s="1"/>
      <c r="O3" s="89" t="s">
        <v>103</v>
      </c>
      <c r="P3" s="47">
        <v>0</v>
      </c>
      <c r="Q3" s="23">
        <v>70000</v>
      </c>
      <c r="W3" s="146" t="s">
        <v>104</v>
      </c>
      <c r="X3" s="147"/>
      <c r="Y3" s="16">
        <v>250</v>
      </c>
    </row>
    <row r="4" spans="1:25" ht="18.75" customHeight="1">
      <c r="A4" s="151" t="s">
        <v>105</v>
      </c>
      <c r="B4" s="151"/>
      <c r="C4" s="65">
        <v>3</v>
      </c>
      <c r="D4" s="60"/>
      <c r="E4" s="66" t="s">
        <v>106</v>
      </c>
      <c r="F4" s="67">
        <v>18.89</v>
      </c>
      <c r="G4" s="60" t="s">
        <v>107</v>
      </c>
      <c r="H4" s="60"/>
      <c r="I4" s="82" t="s">
        <v>108</v>
      </c>
      <c r="J4" s="68">
        <v>0.03</v>
      </c>
      <c r="K4" s="60"/>
      <c r="L4" s="60"/>
      <c r="M4" s="60"/>
      <c r="N4" s="1"/>
      <c r="O4" s="19" t="s">
        <v>109</v>
      </c>
      <c r="Q4" s="23">
        <v>45000</v>
      </c>
      <c r="W4" s="146" t="s">
        <v>110</v>
      </c>
      <c r="X4" s="147"/>
      <c r="Y4" s="22">
        <v>13.52</v>
      </c>
    </row>
    <row r="5" spans="1:25" ht="18.75" customHeight="1">
      <c r="A5" s="151" t="s">
        <v>111</v>
      </c>
      <c r="B5" s="151"/>
      <c r="C5" s="69" t="s">
        <v>112</v>
      </c>
      <c r="D5" s="60"/>
      <c r="E5" s="66" t="s">
        <v>113</v>
      </c>
      <c r="F5" s="67">
        <v>24</v>
      </c>
      <c r="G5" s="60" t="s">
        <v>107</v>
      </c>
      <c r="H5" s="60"/>
      <c r="I5" s="60"/>
      <c r="J5" s="60"/>
      <c r="K5" s="60"/>
      <c r="L5" s="60"/>
      <c r="M5" s="60"/>
      <c r="N5" s="1"/>
      <c r="O5" s="19" t="s">
        <v>114</v>
      </c>
      <c r="P5" s="47">
        <v>70</v>
      </c>
      <c r="Q5" s="23">
        <v>60</v>
      </c>
      <c r="W5" s="146"/>
      <c r="X5" s="147"/>
      <c r="Y5" s="16"/>
    </row>
    <row r="6" spans="1:25" ht="18.75" customHeight="1">
      <c r="A6" s="57"/>
      <c r="B6" s="57"/>
      <c r="C6" s="69"/>
      <c r="D6" s="60"/>
      <c r="E6" s="66" t="s">
        <v>115</v>
      </c>
      <c r="F6" s="67">
        <v>14.5</v>
      </c>
      <c r="G6" s="60" t="s">
        <v>107</v>
      </c>
      <c r="H6" s="60"/>
      <c r="I6" s="60"/>
      <c r="J6" s="60"/>
      <c r="K6" s="60"/>
      <c r="L6" s="60"/>
      <c r="M6" s="60"/>
      <c r="N6" s="1"/>
      <c r="O6" s="19" t="s">
        <v>116</v>
      </c>
      <c r="P6" s="47">
        <v>714</v>
      </c>
      <c r="Q6" s="23">
        <v>750</v>
      </c>
      <c r="W6" s="55"/>
      <c r="X6" s="56"/>
      <c r="Y6" s="16"/>
    </row>
    <row r="7" spans="1:25" ht="18.75" customHeight="1">
      <c r="A7" s="14"/>
      <c r="B7" s="14"/>
      <c r="C7" s="60"/>
      <c r="D7" s="60"/>
      <c r="E7" s="66" t="s">
        <v>117</v>
      </c>
      <c r="F7" s="67">
        <v>19</v>
      </c>
      <c r="G7" s="60" t="s">
        <v>118</v>
      </c>
      <c r="H7" s="60"/>
      <c r="I7" s="60"/>
      <c r="J7" s="60"/>
      <c r="K7" s="60"/>
      <c r="L7" s="60"/>
      <c r="M7" s="60"/>
      <c r="N7" s="1"/>
      <c r="O7" s="19"/>
      <c r="P7" s="47"/>
      <c r="Q7" s="23"/>
      <c r="W7" s="152"/>
      <c r="X7" s="153"/>
      <c r="Y7" s="76"/>
    </row>
    <row r="8" spans="1:25" ht="18.75" customHeight="1">
      <c r="A8" s="14"/>
      <c r="B8" s="14"/>
      <c r="C8" s="60"/>
      <c r="D8" s="60"/>
      <c r="E8" s="66" t="s">
        <v>119</v>
      </c>
      <c r="F8" s="67">
        <v>13.7</v>
      </c>
      <c r="G8" s="60" t="s">
        <v>107</v>
      </c>
      <c r="H8" s="60"/>
      <c r="I8" s="60"/>
      <c r="J8" s="60"/>
      <c r="K8" s="60"/>
      <c r="L8" s="60"/>
      <c r="M8" s="60"/>
      <c r="N8" s="1"/>
      <c r="O8" s="13" t="s">
        <v>120</v>
      </c>
      <c r="P8" s="12">
        <v>10000</v>
      </c>
      <c r="Q8" s="21">
        <v>10000</v>
      </c>
      <c r="W8" s="56"/>
      <c r="X8" s="56"/>
      <c r="Y8" s="47"/>
    </row>
    <row r="9" spans="1:25" ht="18.75" customHeight="1">
      <c r="A9" s="59"/>
      <c r="B9" s="59"/>
      <c r="C9" s="70"/>
      <c r="D9" s="60"/>
      <c r="E9" s="66" t="s">
        <v>121</v>
      </c>
      <c r="F9" s="67">
        <v>80</v>
      </c>
      <c r="G9" s="60" t="s">
        <v>118</v>
      </c>
      <c r="H9" s="60"/>
      <c r="I9" s="60"/>
      <c r="J9" s="60"/>
      <c r="K9" s="60"/>
      <c r="L9" s="60"/>
      <c r="M9" s="60"/>
      <c r="N9" s="1"/>
      <c r="O9" s="1"/>
      <c r="P9" s="1"/>
      <c r="Q9" s="1"/>
      <c r="S9" s="47"/>
      <c r="T9" s="47"/>
      <c r="U9" s="1"/>
      <c r="W9" s="1"/>
      <c r="X9" s="1"/>
      <c r="Y9" s="1"/>
    </row>
    <row r="10" spans="1:25" ht="18.75" customHeight="1">
      <c r="A10" s="15"/>
      <c r="B10" s="15"/>
      <c r="C10" s="66"/>
      <c r="D10" s="60"/>
      <c r="E10" s="60"/>
      <c r="F10" s="60"/>
      <c r="G10" s="60"/>
      <c r="H10" s="60"/>
      <c r="I10" s="66"/>
      <c r="J10" s="60"/>
      <c r="K10" s="60"/>
      <c r="L10" s="60"/>
      <c r="M10" s="60"/>
      <c r="N10" s="1"/>
      <c r="O10" s="1"/>
      <c r="P10" s="148" t="s">
        <v>122</v>
      </c>
      <c r="Q10" s="148"/>
      <c r="R10" s="148"/>
      <c r="S10" s="148"/>
      <c r="W10" s="1"/>
      <c r="X10" s="1"/>
      <c r="Y10" s="1"/>
    </row>
    <row r="11" spans="1:25" ht="29.1">
      <c r="A11" s="44" t="s">
        <v>1</v>
      </c>
      <c r="B11" s="10" t="s">
        <v>123</v>
      </c>
      <c r="C11" s="71" t="s">
        <v>124</v>
      </c>
      <c r="D11" s="71" t="s">
        <v>124</v>
      </c>
      <c r="E11" s="71" t="s">
        <v>125</v>
      </c>
      <c r="F11" s="71" t="s">
        <v>126</v>
      </c>
      <c r="G11" s="71" t="s">
        <v>126</v>
      </c>
      <c r="H11" s="71" t="s">
        <v>127</v>
      </c>
      <c r="I11" s="71" t="s">
        <v>128</v>
      </c>
      <c r="J11" s="71" t="s">
        <v>128</v>
      </c>
      <c r="K11" s="75" t="s">
        <v>129</v>
      </c>
      <c r="L11" s="71" t="s">
        <v>130</v>
      </c>
      <c r="M11" s="71" t="s">
        <v>131</v>
      </c>
      <c r="N11" s="1"/>
      <c r="O11" s="29" t="s">
        <v>132</v>
      </c>
      <c r="P11" s="93" t="s">
        <v>133</v>
      </c>
      <c r="Q11" s="27" t="s">
        <v>99</v>
      </c>
      <c r="R11" s="28"/>
      <c r="S11" s="27"/>
      <c r="W11" s="1"/>
      <c r="X11" s="26" t="s">
        <v>134</v>
      </c>
      <c r="Y11" s="25"/>
    </row>
    <row r="12" spans="1:25" ht="18.75" customHeight="1">
      <c r="A12" s="144" t="s">
        <v>135</v>
      </c>
      <c r="B12" s="6" t="s">
        <v>136</v>
      </c>
      <c r="C12" s="112">
        <v>2022</v>
      </c>
      <c r="D12" s="112">
        <v>2022</v>
      </c>
      <c r="E12" s="112">
        <v>2022</v>
      </c>
      <c r="F12" s="112">
        <v>2022</v>
      </c>
      <c r="G12" s="112">
        <v>2022</v>
      </c>
      <c r="H12" s="112">
        <v>2022</v>
      </c>
      <c r="I12" s="112">
        <v>2022</v>
      </c>
      <c r="J12" s="112">
        <v>2022</v>
      </c>
      <c r="K12" s="112">
        <v>2022</v>
      </c>
      <c r="L12" s="112">
        <v>2022</v>
      </c>
      <c r="M12" s="112">
        <v>2022</v>
      </c>
      <c r="N12">
        <v>2001</v>
      </c>
      <c r="O12" s="90" t="s">
        <v>137</v>
      </c>
      <c r="P12" s="90"/>
      <c r="Q12" s="16">
        <v>360</v>
      </c>
      <c r="R12" s="91"/>
      <c r="S12" s="16"/>
      <c r="W12" s="1"/>
      <c r="X12" s="19" t="s">
        <v>138</v>
      </c>
      <c r="Y12" s="20">
        <v>0.8</v>
      </c>
    </row>
    <row r="13" spans="1:25" ht="18.75" customHeight="1">
      <c r="A13" s="144"/>
      <c r="B13" s="6" t="s">
        <v>139</v>
      </c>
      <c r="C13" s="97" t="s">
        <v>140</v>
      </c>
      <c r="D13" s="97" t="s">
        <v>141</v>
      </c>
      <c r="E13" s="97" t="s">
        <v>140</v>
      </c>
      <c r="F13" s="97" t="s">
        <v>140</v>
      </c>
      <c r="G13" s="97" t="s">
        <v>141</v>
      </c>
      <c r="H13" s="97" t="s">
        <v>140</v>
      </c>
      <c r="I13" s="97" t="s">
        <v>140</v>
      </c>
      <c r="J13" s="97" t="s">
        <v>141</v>
      </c>
      <c r="K13" s="97" t="s">
        <v>140</v>
      </c>
      <c r="L13" s="97" t="s">
        <v>141</v>
      </c>
      <c r="M13" s="97" t="s">
        <v>141</v>
      </c>
      <c r="N13" s="1"/>
      <c r="O13" s="90" t="s">
        <v>142</v>
      </c>
      <c r="P13" s="90"/>
      <c r="Q13" s="16">
        <v>0</v>
      </c>
      <c r="R13" s="91"/>
      <c r="S13" s="16"/>
      <c r="W13" s="1"/>
      <c r="X13" s="19" t="s">
        <v>112</v>
      </c>
      <c r="Y13" s="20">
        <v>1</v>
      </c>
    </row>
    <row r="14" spans="1:25" ht="18.75" customHeight="1">
      <c r="A14" s="144"/>
      <c r="B14" s="6" t="s">
        <v>143</v>
      </c>
      <c r="C14" s="72" t="s">
        <v>101</v>
      </c>
      <c r="D14" s="72" t="s">
        <v>101</v>
      </c>
      <c r="E14" s="72" t="s">
        <v>106</v>
      </c>
      <c r="F14" s="72" t="s">
        <v>101</v>
      </c>
      <c r="G14" s="72" t="s">
        <v>101</v>
      </c>
      <c r="H14" s="72" t="s">
        <v>106</v>
      </c>
      <c r="I14" s="72" t="s">
        <v>101</v>
      </c>
      <c r="J14" s="72" t="s">
        <v>101</v>
      </c>
      <c r="K14" s="72" t="s">
        <v>106</v>
      </c>
      <c r="L14" s="72" t="s">
        <v>106</v>
      </c>
      <c r="M14" s="72" t="s">
        <v>106</v>
      </c>
      <c r="N14" s="1"/>
      <c r="O14" s="17"/>
      <c r="P14" s="17" t="s">
        <v>144</v>
      </c>
      <c r="Q14" s="16">
        <v>0</v>
      </c>
      <c r="R14" s="9"/>
      <c r="S14" s="16"/>
      <c r="W14" s="1"/>
      <c r="X14" s="19" t="s">
        <v>145</v>
      </c>
      <c r="Y14" s="20">
        <v>1.3</v>
      </c>
    </row>
    <row r="15" spans="1:25" ht="18.75" customHeight="1">
      <c r="A15" s="144"/>
      <c r="B15" s="6" t="s">
        <v>146</v>
      </c>
      <c r="C15" s="72">
        <v>0</v>
      </c>
      <c r="D15" s="72">
        <v>0</v>
      </c>
      <c r="E15" s="72">
        <v>121</v>
      </c>
      <c r="F15" s="72">
        <v>0</v>
      </c>
      <c r="G15" s="72">
        <v>0</v>
      </c>
      <c r="H15" s="72">
        <v>171</v>
      </c>
      <c r="I15" s="72">
        <v>0</v>
      </c>
      <c r="J15" s="72">
        <v>0</v>
      </c>
      <c r="K15" s="72">
        <v>142</v>
      </c>
      <c r="L15" s="72">
        <v>29</v>
      </c>
      <c r="M15" s="72">
        <v>134</v>
      </c>
      <c r="N15" s="1"/>
      <c r="O15" s="17" t="s">
        <v>147</v>
      </c>
      <c r="P15" s="17">
        <v>75</v>
      </c>
      <c r="Q15" s="16">
        <v>107</v>
      </c>
      <c r="R15" s="9"/>
      <c r="S15" s="16"/>
      <c r="W15" s="1"/>
      <c r="X15" s="19"/>
      <c r="Y15" s="16"/>
    </row>
    <row r="16" spans="1:25" ht="18.75" customHeight="1">
      <c r="A16" s="144"/>
      <c r="B16" s="8" t="s">
        <v>148</v>
      </c>
      <c r="C16" s="73">
        <v>1.78</v>
      </c>
      <c r="D16" s="73">
        <v>1.78</v>
      </c>
      <c r="E16" s="73">
        <v>0.53</v>
      </c>
      <c r="F16" s="73">
        <v>1.3</v>
      </c>
      <c r="G16" s="73">
        <v>1.3</v>
      </c>
      <c r="H16" s="73">
        <v>0.68</v>
      </c>
      <c r="I16" s="73">
        <v>1.57</v>
      </c>
      <c r="J16" s="73">
        <v>1.57</v>
      </c>
      <c r="K16" s="73">
        <v>0.63</v>
      </c>
      <c r="L16" s="73">
        <v>0.14000000000000001</v>
      </c>
      <c r="M16" s="73">
        <v>0.59</v>
      </c>
      <c r="N16" s="1"/>
      <c r="O16" s="17" t="s">
        <v>147</v>
      </c>
      <c r="P16" s="17">
        <v>125</v>
      </c>
      <c r="Q16" s="16">
        <v>132</v>
      </c>
      <c r="R16" s="9"/>
      <c r="S16" s="16"/>
      <c r="W16" s="1"/>
      <c r="X16" s="13" t="s">
        <v>149</v>
      </c>
      <c r="Y16" s="18">
        <f>INDEX($Y$12:$Y$14,MATCH($C$5,$X$12:$X$14,0))</f>
        <v>1</v>
      </c>
    </row>
    <row r="17" spans="1:27" ht="18.75" customHeight="1">
      <c r="A17" s="144"/>
      <c r="B17" s="6" t="s">
        <v>150</v>
      </c>
      <c r="C17" s="74">
        <v>427990</v>
      </c>
      <c r="D17" s="74">
        <v>427990</v>
      </c>
      <c r="E17" s="74">
        <v>267900</v>
      </c>
      <c r="F17" s="74">
        <v>629990</v>
      </c>
      <c r="G17" s="74">
        <v>629990</v>
      </c>
      <c r="H17" s="74">
        <v>490000</v>
      </c>
      <c r="I17" s="74">
        <v>560500</v>
      </c>
      <c r="J17" s="74">
        <v>560500</v>
      </c>
      <c r="K17" s="74">
        <v>338800</v>
      </c>
      <c r="L17" s="74">
        <v>417800</v>
      </c>
      <c r="M17" s="74">
        <v>301300</v>
      </c>
      <c r="N17" s="1"/>
      <c r="O17" s="17"/>
      <c r="P17" s="17"/>
      <c r="Q17" s="16"/>
      <c r="R17" s="9"/>
      <c r="S17" s="16"/>
      <c r="W17" s="1"/>
      <c r="X17" s="47"/>
      <c r="Y17" s="48"/>
    </row>
    <row r="18" spans="1:27" ht="18.75" customHeight="1">
      <c r="A18" s="144"/>
      <c r="B18" s="6" t="s">
        <v>151</v>
      </c>
      <c r="C18" s="74">
        <f>C17*0.2</f>
        <v>85598</v>
      </c>
      <c r="D18" s="74">
        <f>D17*0.2</f>
        <v>85598</v>
      </c>
      <c r="E18" s="74">
        <f>E17*0.2</f>
        <v>53580</v>
      </c>
      <c r="F18" s="74">
        <f t="shared" ref="F18" si="0">F17*0.2</f>
        <v>125998</v>
      </c>
      <c r="G18" s="74">
        <f t="shared" ref="G18" si="1">G17*0.2</f>
        <v>125998</v>
      </c>
      <c r="H18" s="74">
        <f t="shared" ref="H18" si="2">H17*0.2</f>
        <v>98000</v>
      </c>
      <c r="I18" s="74">
        <f t="shared" ref="I18:J18" si="3">I17*0.2</f>
        <v>112100</v>
      </c>
      <c r="J18" s="74">
        <f t="shared" si="3"/>
        <v>112100</v>
      </c>
      <c r="K18" s="74">
        <f t="shared" ref="K18:M18" si="4">K17*0.2</f>
        <v>67760</v>
      </c>
      <c r="L18" s="74">
        <f t="shared" si="4"/>
        <v>83560</v>
      </c>
      <c r="M18" s="74">
        <f t="shared" si="4"/>
        <v>60260</v>
      </c>
      <c r="O18" s="17" t="s">
        <v>152</v>
      </c>
      <c r="P18" s="17">
        <v>3</v>
      </c>
      <c r="Q18" s="16"/>
      <c r="R18" s="9"/>
      <c r="S18" s="16"/>
      <c r="W18" s="1"/>
      <c r="X18" s="1"/>
      <c r="Y18" s="1"/>
    </row>
    <row r="19" spans="1:27" ht="18.75" customHeight="1">
      <c r="A19" s="144"/>
      <c r="B19" s="6" t="s">
        <v>153</v>
      </c>
      <c r="C19" s="74">
        <v>10000</v>
      </c>
      <c r="D19" s="74">
        <v>10000</v>
      </c>
      <c r="E19" s="74">
        <v>0</v>
      </c>
      <c r="F19" s="74">
        <v>10000</v>
      </c>
      <c r="G19" s="74">
        <v>10000</v>
      </c>
      <c r="H19" s="74"/>
      <c r="I19" s="74">
        <v>10000</v>
      </c>
      <c r="J19" s="74">
        <v>10000</v>
      </c>
      <c r="K19" s="74"/>
      <c r="L19" s="74">
        <v>10000</v>
      </c>
      <c r="M19" s="74"/>
      <c r="O19" s="13" t="s">
        <v>154</v>
      </c>
      <c r="P19" s="13">
        <v>111</v>
      </c>
      <c r="Q19" s="11">
        <v>22</v>
      </c>
      <c r="R19" s="12"/>
      <c r="S19" s="11"/>
      <c r="V19" t="s">
        <v>155</v>
      </c>
      <c r="W19" s="1"/>
      <c r="X19" s="45" t="s">
        <v>156</v>
      </c>
      <c r="Y19" s="1"/>
      <c r="AA19" s="86" t="s">
        <v>136</v>
      </c>
    </row>
    <row r="20" spans="1:27" ht="18.75" customHeight="1">
      <c r="A20" s="144"/>
      <c r="B20" s="6" t="s">
        <v>157</v>
      </c>
      <c r="C20" s="74">
        <v>4000</v>
      </c>
      <c r="D20" s="74">
        <v>4000</v>
      </c>
      <c r="E20" s="74">
        <v>4000</v>
      </c>
      <c r="F20" s="74">
        <v>4000</v>
      </c>
      <c r="G20" s="74">
        <v>4000</v>
      </c>
      <c r="H20" s="74">
        <v>4000</v>
      </c>
      <c r="I20" s="74">
        <v>4000</v>
      </c>
      <c r="J20" s="74">
        <v>4000</v>
      </c>
      <c r="K20" s="74">
        <v>4000</v>
      </c>
      <c r="L20" s="74">
        <v>4000</v>
      </c>
      <c r="M20" s="74">
        <v>4000</v>
      </c>
      <c r="P20" s="1"/>
      <c r="Q20" s="1"/>
      <c r="V20" t="s">
        <v>140</v>
      </c>
      <c r="W20" s="1"/>
      <c r="X20" s="23">
        <v>1</v>
      </c>
      <c r="Y20" s="1"/>
      <c r="AA20" s="87">
        <v>2021</v>
      </c>
    </row>
    <row r="21" spans="1:27" ht="15.75" customHeight="1">
      <c r="A21" s="144"/>
      <c r="B21" s="6" t="s">
        <v>158</v>
      </c>
      <c r="C21" s="74">
        <v>4500</v>
      </c>
      <c r="D21" s="74">
        <v>4500</v>
      </c>
      <c r="E21" s="74">
        <v>5500</v>
      </c>
      <c r="F21" s="74">
        <v>9000</v>
      </c>
      <c r="G21" s="74">
        <v>9000</v>
      </c>
      <c r="H21" s="74">
        <v>6500</v>
      </c>
      <c r="I21" s="74">
        <f>4000+2000</f>
        <v>6000</v>
      </c>
      <c r="J21" s="74">
        <f>4000+2000</f>
        <v>6000</v>
      </c>
      <c r="K21" s="74">
        <v>7000</v>
      </c>
      <c r="L21" s="74">
        <v>7000</v>
      </c>
      <c r="M21" s="74">
        <v>7000</v>
      </c>
      <c r="O21" s="24" t="s">
        <v>136</v>
      </c>
      <c r="P21" s="1"/>
      <c r="Q21" s="1"/>
      <c r="V21" t="s">
        <v>141</v>
      </c>
      <c r="W21" s="1"/>
      <c r="X21" s="23">
        <v>2</v>
      </c>
      <c r="Y21" s="1"/>
      <c r="AA21" s="87">
        <v>2020</v>
      </c>
    </row>
    <row r="22" spans="1:27" ht="31.5" customHeight="1" thickBot="1">
      <c r="A22" s="145"/>
      <c r="B22" s="6" t="s">
        <v>159</v>
      </c>
      <c r="C22" s="74"/>
      <c r="D22" s="74"/>
      <c r="E22" s="74"/>
      <c r="F22" s="74"/>
      <c r="G22" s="74"/>
      <c r="H22" s="74"/>
      <c r="I22" s="74"/>
      <c r="J22" s="74"/>
      <c r="K22" s="74"/>
      <c r="L22" s="74"/>
      <c r="M22" s="74"/>
      <c r="N22" s="1"/>
      <c r="O22" s="23" t="s">
        <v>160</v>
      </c>
      <c r="P22" s="1"/>
      <c r="Q22" s="1"/>
      <c r="W22" s="1"/>
      <c r="X22" s="23">
        <v>3</v>
      </c>
      <c r="Y22" s="1"/>
      <c r="AA22" s="87">
        <v>2019</v>
      </c>
    </row>
    <row r="23" spans="1:27" ht="9" customHeight="1" thickTop="1">
      <c r="A23" s="142" t="s">
        <v>60</v>
      </c>
      <c r="B23" s="108"/>
      <c r="C23" s="109"/>
      <c r="D23" s="109"/>
      <c r="E23" s="109"/>
      <c r="F23" s="109"/>
      <c r="G23" s="109"/>
      <c r="H23" s="109"/>
      <c r="I23" s="109"/>
      <c r="J23" s="109"/>
      <c r="K23" s="109"/>
      <c r="L23" s="109"/>
      <c r="M23" s="109"/>
      <c r="N23" s="1"/>
      <c r="O23" s="85">
        <f ca="1">YEAR(TODAY())</f>
        <v>2023</v>
      </c>
      <c r="X23" s="23">
        <v>4</v>
      </c>
      <c r="AA23" s="87">
        <v>2018</v>
      </c>
    </row>
    <row r="24" spans="1:27" ht="18.75" customHeight="1">
      <c r="A24" s="142"/>
      <c r="B24" s="46" t="s">
        <v>161</v>
      </c>
      <c r="C24" s="107">
        <f ca="1">ROUND(C28-C29-C30+C31+C32+C33+C34,-1)</f>
        <v>190100</v>
      </c>
      <c r="D24" s="107">
        <f ca="1">ROUND(D28-D29-D30+D31+D32+D33+D34,-1)</f>
        <v>264190</v>
      </c>
      <c r="E24" s="107">
        <f t="shared" ref="E24:M24" ca="1" si="5">ROUND(E28-E29-E30+E31+E32+E33+E34,-1)</f>
        <v>219800</v>
      </c>
      <c r="F24" s="107">
        <f ca="1">ROUND(F28-F29-F30+F31+F32+F33+F34,-1)</f>
        <v>300110</v>
      </c>
      <c r="G24" s="107">
        <f t="shared" ca="1" si="5"/>
        <v>374200</v>
      </c>
      <c r="H24" s="107">
        <f t="shared" ca="1" si="5"/>
        <v>363280</v>
      </c>
      <c r="I24" s="107">
        <f t="shared" ca="1" si="5"/>
        <v>258940</v>
      </c>
      <c r="J24" s="107">
        <f t="shared" ca="1" si="5"/>
        <v>333030</v>
      </c>
      <c r="K24" s="107">
        <f t="shared" ca="1" si="5"/>
        <v>274550</v>
      </c>
      <c r="L24" s="107">
        <f t="shared" ref="L24" ca="1" si="6">ROUND(L28-L29-L30+L31+L32+L33+L34,-1)</f>
        <v>263130</v>
      </c>
      <c r="M24" s="107">
        <f t="shared" ca="1" si="5"/>
        <v>249710</v>
      </c>
      <c r="N24" s="1"/>
      <c r="O24" s="1"/>
      <c r="P24" s="1"/>
      <c r="Q24" s="1"/>
      <c r="W24" s="1"/>
      <c r="X24" s="23">
        <v>5</v>
      </c>
      <c r="Y24" s="1"/>
      <c r="AA24" s="87">
        <v>2017</v>
      </c>
    </row>
    <row r="25" spans="1:27" ht="18.75" customHeight="1">
      <c r="A25" s="143" t="s">
        <v>162</v>
      </c>
      <c r="B25" s="7" t="s">
        <v>163</v>
      </c>
      <c r="C25" s="99">
        <f t="shared" ref="C25:M25" ca="1" si="7">ROUND(C24/$C$4/12,-1)</f>
        <v>5280</v>
      </c>
      <c r="D25" s="99">
        <f t="shared" ca="1" si="7"/>
        <v>7340</v>
      </c>
      <c r="E25" s="99">
        <f t="shared" ca="1" si="7"/>
        <v>6110</v>
      </c>
      <c r="F25" s="99">
        <f t="shared" ca="1" si="7"/>
        <v>8340</v>
      </c>
      <c r="G25" s="99">
        <f t="shared" ca="1" si="7"/>
        <v>10390</v>
      </c>
      <c r="H25" s="99">
        <f t="shared" ca="1" si="7"/>
        <v>10090</v>
      </c>
      <c r="I25" s="99">
        <f t="shared" ca="1" si="7"/>
        <v>7190</v>
      </c>
      <c r="J25" s="99">
        <f t="shared" ca="1" si="7"/>
        <v>9250</v>
      </c>
      <c r="K25" s="99">
        <f t="shared" ca="1" si="7"/>
        <v>7630</v>
      </c>
      <c r="L25" s="99">
        <f t="shared" ref="L25" ca="1" si="8">ROUND(L24/$C$4/12,-1)</f>
        <v>7310</v>
      </c>
      <c r="M25" s="99">
        <f t="shared" ca="1" si="7"/>
        <v>6940</v>
      </c>
      <c r="N25" s="1"/>
      <c r="O25" s="26" t="s">
        <v>164</v>
      </c>
      <c r="P25" s="25"/>
      <c r="Q25" s="1"/>
      <c r="W25" s="1"/>
      <c r="X25" s="23">
        <v>6</v>
      </c>
      <c r="Y25" s="1"/>
      <c r="AA25" s="87">
        <v>2016</v>
      </c>
    </row>
    <row r="26" spans="1:27" ht="18.75" customHeight="1">
      <c r="A26" s="143"/>
      <c r="B26" s="7" t="s">
        <v>165</v>
      </c>
      <c r="C26" s="99">
        <f t="shared" ref="C26" ca="1" si="9">C24/$C$3/$C$4</f>
        <v>42.244444444444447</v>
      </c>
      <c r="D26" s="99">
        <f t="shared" ref="D26:H26" ca="1" si="10">D24/$C$3/$C$4</f>
        <v>58.708888888888886</v>
      </c>
      <c r="E26" s="99">
        <f t="shared" ca="1" si="10"/>
        <v>48.844444444444441</v>
      </c>
      <c r="F26" s="99">
        <f t="shared" ca="1" si="10"/>
        <v>66.691111111111113</v>
      </c>
      <c r="G26" s="99">
        <f t="shared" ca="1" si="10"/>
        <v>83.155555555555551</v>
      </c>
      <c r="H26" s="99">
        <f t="shared" ca="1" si="10"/>
        <v>80.728888888888889</v>
      </c>
      <c r="I26" s="99">
        <f t="shared" ref="I26:M26" ca="1" si="11">I24/$C$3/$C$4</f>
        <v>57.542222222222222</v>
      </c>
      <c r="J26" s="99">
        <f t="shared" ca="1" si="11"/>
        <v>74.006666666666675</v>
      </c>
      <c r="K26" s="99">
        <f t="shared" ca="1" si="11"/>
        <v>61.011111111111113</v>
      </c>
      <c r="L26" s="99">
        <f t="shared" ref="L26" ca="1" si="12">L24/$C$3/$C$4</f>
        <v>58.473333333333329</v>
      </c>
      <c r="M26" s="99">
        <f t="shared" ca="1" si="11"/>
        <v>55.49111111111111</v>
      </c>
      <c r="N26" s="1"/>
      <c r="O26" s="13">
        <v>50</v>
      </c>
      <c r="P26" s="11"/>
      <c r="Q26" s="1"/>
      <c r="W26" s="1"/>
      <c r="X26" s="23">
        <v>7</v>
      </c>
      <c r="Y26" s="1"/>
      <c r="AA26" s="87">
        <v>2015</v>
      </c>
    </row>
    <row r="27" spans="1:27" ht="4.5" customHeight="1" thickBot="1">
      <c r="A27" s="143"/>
      <c r="B27" s="110"/>
      <c r="C27" s="111"/>
      <c r="D27" s="111"/>
      <c r="E27" s="111"/>
      <c r="F27" s="111"/>
      <c r="G27" s="111"/>
      <c r="H27" s="111"/>
      <c r="I27" s="111"/>
      <c r="J27" s="111"/>
      <c r="K27" s="111"/>
      <c r="L27" s="111"/>
      <c r="M27" s="111"/>
      <c r="N27" s="1"/>
      <c r="O27" s="1"/>
      <c r="P27" s="1"/>
      <c r="Q27" s="1"/>
      <c r="W27" s="1"/>
      <c r="X27" s="23">
        <v>8</v>
      </c>
      <c r="Y27" s="1"/>
      <c r="AA27" s="87">
        <v>2014</v>
      </c>
    </row>
    <row r="28" spans="1:27" ht="18.75" customHeight="1" thickTop="1">
      <c r="A28" s="143"/>
      <c r="B28" s="105" t="s">
        <v>166</v>
      </c>
      <c r="C28" s="106">
        <f>ROUND(C17+C19,-1)</f>
        <v>437990</v>
      </c>
      <c r="D28" s="106">
        <f t="shared" ref="D28:M28" si="13">ROUND(D17+D19,-1)</f>
        <v>437990</v>
      </c>
      <c r="E28" s="106">
        <f t="shared" si="13"/>
        <v>267900</v>
      </c>
      <c r="F28" s="106">
        <f t="shared" si="13"/>
        <v>639990</v>
      </c>
      <c r="G28" s="106">
        <f t="shared" si="13"/>
        <v>639990</v>
      </c>
      <c r="H28" s="106">
        <f t="shared" si="13"/>
        <v>490000</v>
      </c>
      <c r="I28" s="106">
        <f t="shared" si="13"/>
        <v>570500</v>
      </c>
      <c r="J28" s="106">
        <f t="shared" si="13"/>
        <v>570500</v>
      </c>
      <c r="K28" s="106">
        <f t="shared" si="13"/>
        <v>338800</v>
      </c>
      <c r="L28" s="106">
        <f t="shared" ref="L28" si="14">ROUND(L17+L19,-1)</f>
        <v>427800</v>
      </c>
      <c r="M28" s="106">
        <f t="shared" si="13"/>
        <v>301300</v>
      </c>
      <c r="O28" s="1"/>
      <c r="P28" s="1"/>
      <c r="Q28" s="1"/>
      <c r="W28" s="1"/>
      <c r="X28" s="23">
        <v>9</v>
      </c>
      <c r="Y28" s="1"/>
      <c r="AA28" s="87">
        <v>2013</v>
      </c>
    </row>
    <row r="29" spans="1:27" ht="18.75" customHeight="1">
      <c r="A29" s="143"/>
      <c r="B29" s="6" t="s">
        <v>167</v>
      </c>
      <c r="C29" s="101">
        <f t="shared" ref="C29:M29" si="15">IF(C22&gt;0,C22,IFERROR((C17*INDEX($Q$54:$AL$75,MATCH(C12,$P$54:$P$75,0),MATCH($C$4,$Q$53:$AL$53,0)))/(1+$J$2)^$C$4,0))</f>
        <v>234064.64088103091</v>
      </c>
      <c r="D29" s="101">
        <f t="shared" si="15"/>
        <v>234064.64088103091</v>
      </c>
      <c r="E29" s="101">
        <f t="shared" si="15"/>
        <v>146512.57574248972</v>
      </c>
      <c r="F29" s="101">
        <f t="shared" si="15"/>
        <v>344536.98242631991</v>
      </c>
      <c r="G29" s="101">
        <f t="shared" si="15"/>
        <v>344536.98242631991</v>
      </c>
      <c r="H29" s="101">
        <f t="shared" si="15"/>
        <v>267977.46216431493</v>
      </c>
      <c r="I29" s="101">
        <f t="shared" si="15"/>
        <v>306533.40314918064</v>
      </c>
      <c r="J29" s="101">
        <f t="shared" si="15"/>
        <v>306533.40314918064</v>
      </c>
      <c r="K29" s="101">
        <f t="shared" si="15"/>
        <v>185287.27383932634</v>
      </c>
      <c r="L29" s="101">
        <f t="shared" ref="L29" si="16">IF(L22&gt;0,L22,IFERROR((L17*INDEX($Q$54:$AL$75,MATCH(L12,$P$54:$P$75,0),MATCH($C$4,$Q$53:$AL$53,0)))/(1+$J$2)^$C$4,0))</f>
        <v>228491.803453573</v>
      </c>
      <c r="M29" s="101">
        <f t="shared" si="15"/>
        <v>164778.79459205733</v>
      </c>
      <c r="N29" s="101">
        <f>IFERROR((N17*INDEX($Q$54:$AL$75,MATCH(N12,$P$54:$P$75,0),MATCH($C$4,$Q$53:$AL$53,0)))/(1+$J$2)^$C$4,0)</f>
        <v>0</v>
      </c>
      <c r="O29" s="1"/>
      <c r="P29" s="1"/>
      <c r="Q29" s="1"/>
      <c r="W29" s="1"/>
      <c r="X29" s="21">
        <v>10</v>
      </c>
      <c r="Y29" s="1"/>
      <c r="AA29" s="87">
        <v>2012</v>
      </c>
    </row>
    <row r="30" spans="1:27" ht="18.75" customHeight="1">
      <c r="A30" s="143"/>
      <c r="B30" s="10" t="s">
        <v>168</v>
      </c>
      <c r="C30" s="100">
        <f>IF(C$13=$V$20,IF(C$14=$E$7,$Q$8,IF(C$15=0,$Q$3,IF(C$15&gt;$Q$5,0,$Q$4-$Q$6*C$15))),0)</f>
        <v>70000</v>
      </c>
      <c r="D30" s="100">
        <f t="shared" ref="D30:M30" si="17">IF(D$13=$V$20,IF(D$14=$E$7,$Q$8,IF(D$15=0,$Q$3,IF(D$15&gt;$Q$5,0,$Q$4-$Q$6*D$15))),0)</f>
        <v>0</v>
      </c>
      <c r="E30" s="100">
        <f t="shared" si="17"/>
        <v>0</v>
      </c>
      <c r="F30" s="100">
        <f t="shared" si="17"/>
        <v>70000</v>
      </c>
      <c r="G30" s="100">
        <f t="shared" si="17"/>
        <v>0</v>
      </c>
      <c r="H30" s="100">
        <f t="shared" si="17"/>
        <v>0</v>
      </c>
      <c r="I30" s="100">
        <f t="shared" si="17"/>
        <v>70000</v>
      </c>
      <c r="J30" s="100">
        <f t="shared" si="17"/>
        <v>0</v>
      </c>
      <c r="K30" s="100">
        <f t="shared" si="17"/>
        <v>0</v>
      </c>
      <c r="L30" s="100">
        <f t="shared" si="17"/>
        <v>0</v>
      </c>
      <c r="M30" s="100">
        <f t="shared" si="17"/>
        <v>0</v>
      </c>
      <c r="N30" s="1"/>
      <c r="O30" s="1"/>
      <c r="P30" s="1"/>
      <c r="Q30" s="1"/>
      <c r="W30" s="1"/>
      <c r="Y30" s="1"/>
      <c r="AA30" s="87">
        <v>2011</v>
      </c>
    </row>
    <row r="31" spans="1:27" ht="18.75" customHeight="1">
      <c r="A31" s="143"/>
      <c r="B31" s="6" t="s">
        <v>169</v>
      </c>
      <c r="C31" s="58">
        <f t="shared" ref="C31:M31" si="18">ROUND(INDEX(C$55:C$64,$C$4),-1)</f>
        <v>14640</v>
      </c>
      <c r="D31" s="58">
        <f t="shared" si="18"/>
        <v>14640</v>
      </c>
      <c r="E31" s="58">
        <f t="shared" si="18"/>
        <v>43340</v>
      </c>
      <c r="F31" s="58">
        <f t="shared" si="18"/>
        <v>10690</v>
      </c>
      <c r="G31" s="58">
        <f t="shared" si="18"/>
        <v>10690</v>
      </c>
      <c r="H31" s="58">
        <f t="shared" si="18"/>
        <v>55610</v>
      </c>
      <c r="I31" s="58">
        <f t="shared" si="18"/>
        <v>12910</v>
      </c>
      <c r="J31" s="58">
        <f t="shared" si="18"/>
        <v>12910</v>
      </c>
      <c r="K31" s="58">
        <f t="shared" si="18"/>
        <v>51520</v>
      </c>
      <c r="L31" s="58">
        <f t="shared" si="18"/>
        <v>11450</v>
      </c>
      <c r="M31" s="58">
        <f t="shared" si="18"/>
        <v>48250</v>
      </c>
      <c r="N31" s="1"/>
      <c r="O31" s="1"/>
      <c r="P31" s="1"/>
      <c r="Q31" s="1"/>
      <c r="W31" s="1"/>
      <c r="Y31" s="1"/>
      <c r="AA31" s="87">
        <v>2010</v>
      </c>
    </row>
    <row r="32" spans="1:27" ht="18.75" customHeight="1">
      <c r="A32" s="143"/>
      <c r="B32" s="6" t="s">
        <v>170</v>
      </c>
      <c r="C32" s="98">
        <f t="shared" ref="C32:M32" ca="1" si="19">IF(C$28=0,0,ROUND(C$42+C$43+C$44,-1))</f>
        <v>1070</v>
      </c>
      <c r="D32" s="98">
        <f t="shared" ca="1" si="19"/>
        <v>1070</v>
      </c>
      <c r="E32" s="98">
        <f t="shared" ca="1" si="19"/>
        <v>10940</v>
      </c>
      <c r="F32" s="98">
        <f t="shared" ca="1" si="19"/>
        <v>1070</v>
      </c>
      <c r="G32" s="98">
        <f t="shared" ca="1" si="19"/>
        <v>1070</v>
      </c>
      <c r="H32" s="98">
        <f t="shared" ca="1" si="19"/>
        <v>24790</v>
      </c>
      <c r="I32" s="98">
        <f t="shared" ca="1" si="19"/>
        <v>1070</v>
      </c>
      <c r="J32" s="98">
        <f t="shared" ca="1" si="19"/>
        <v>1070</v>
      </c>
      <c r="K32" s="98">
        <f t="shared" ca="1" si="19"/>
        <v>16640</v>
      </c>
      <c r="L32" s="98">
        <f t="shared" ca="1" si="19"/>
        <v>1070</v>
      </c>
      <c r="M32" s="98">
        <f t="shared" ca="1" si="19"/>
        <v>14400</v>
      </c>
      <c r="N32" s="1"/>
      <c r="O32" s="1"/>
      <c r="P32" s="1"/>
      <c r="Q32" s="1"/>
      <c r="W32" s="1"/>
      <c r="X32" s="1"/>
      <c r="Y32" s="1"/>
      <c r="AA32" s="87">
        <v>2009</v>
      </c>
    </row>
    <row r="33" spans="1:27" ht="18.75" customHeight="1">
      <c r="A33" s="143"/>
      <c r="B33" s="6" t="s">
        <v>171</v>
      </c>
      <c r="C33" s="99">
        <f t="shared" ref="C33:M33" si="20">ROUND(INDEX(C135:C144,$C$4),-1)</f>
        <v>24530</v>
      </c>
      <c r="D33" s="99">
        <f t="shared" si="20"/>
        <v>24530</v>
      </c>
      <c r="E33" s="99">
        <f t="shared" si="20"/>
        <v>27420</v>
      </c>
      <c r="F33" s="99">
        <f t="shared" si="20"/>
        <v>37520</v>
      </c>
      <c r="G33" s="99">
        <f t="shared" si="20"/>
        <v>37520</v>
      </c>
      <c r="H33" s="99">
        <f t="shared" si="20"/>
        <v>30300</v>
      </c>
      <c r="I33" s="99">
        <f t="shared" si="20"/>
        <v>28860</v>
      </c>
      <c r="J33" s="99">
        <f t="shared" si="20"/>
        <v>28860</v>
      </c>
      <c r="K33" s="99">
        <f t="shared" si="20"/>
        <v>31750</v>
      </c>
      <c r="L33" s="99">
        <f t="shared" ref="L33" si="21">ROUND(INDEX(L135:L144,$C$4),-1)</f>
        <v>31750</v>
      </c>
      <c r="M33" s="99">
        <f t="shared" si="20"/>
        <v>31750</v>
      </c>
      <c r="N33" s="1"/>
      <c r="O33" s="1"/>
      <c r="P33" s="1"/>
      <c r="Q33" s="1"/>
      <c r="W33" s="1"/>
      <c r="X33" s="1"/>
      <c r="Y33" s="1"/>
      <c r="AA33" s="87">
        <v>2008</v>
      </c>
    </row>
    <row r="34" spans="1:27" ht="18.75" customHeight="1">
      <c r="A34" s="143"/>
      <c r="B34" s="10" t="s">
        <v>172</v>
      </c>
      <c r="C34" s="100">
        <f t="shared" ref="C34:M34" si="22">ROUND(SUM(C156:C165),-1)</f>
        <v>15930</v>
      </c>
      <c r="D34" s="100">
        <f t="shared" si="22"/>
        <v>20020</v>
      </c>
      <c r="E34" s="100">
        <f t="shared" si="22"/>
        <v>16710</v>
      </c>
      <c r="F34" s="100">
        <f t="shared" si="22"/>
        <v>25380</v>
      </c>
      <c r="G34" s="100">
        <f t="shared" si="22"/>
        <v>29470</v>
      </c>
      <c r="H34" s="100">
        <f t="shared" si="22"/>
        <v>30560</v>
      </c>
      <c r="I34" s="100">
        <f t="shared" si="22"/>
        <v>22130</v>
      </c>
      <c r="J34" s="100">
        <f t="shared" si="22"/>
        <v>26220</v>
      </c>
      <c r="K34" s="100">
        <f t="shared" si="22"/>
        <v>21130</v>
      </c>
      <c r="L34" s="100">
        <f t="shared" ref="L34" si="23">ROUND(SUM(L156:L165),-1)</f>
        <v>19550</v>
      </c>
      <c r="M34" s="100">
        <f t="shared" si="22"/>
        <v>18790</v>
      </c>
      <c r="N34" s="1"/>
      <c r="O34" s="1"/>
      <c r="P34" s="1"/>
      <c r="Q34" s="1"/>
      <c r="W34" s="1"/>
      <c r="X34" s="1"/>
      <c r="Y34" s="1"/>
      <c r="AA34" s="87">
        <v>2007</v>
      </c>
    </row>
    <row r="35" spans="1:27" ht="5.25" customHeight="1">
      <c r="A35" s="84"/>
      <c r="N35" s="1"/>
      <c r="O35" s="1"/>
      <c r="P35" s="1"/>
      <c r="Q35" s="1"/>
      <c r="W35" s="1"/>
      <c r="X35" s="1"/>
      <c r="Y35" s="1"/>
      <c r="AA35" s="87">
        <v>2006</v>
      </c>
    </row>
    <row r="36" spans="1:27" ht="7.5" customHeight="1">
      <c r="A36" s="84"/>
      <c r="N36" s="1"/>
      <c r="O36" s="1"/>
      <c r="P36" s="1"/>
      <c r="Q36" s="1"/>
      <c r="W36" s="1"/>
      <c r="X36" s="1"/>
      <c r="Y36" s="1"/>
      <c r="AA36" s="87">
        <v>2005</v>
      </c>
    </row>
    <row r="37" spans="1:27" ht="18.75" hidden="1" customHeight="1">
      <c r="A37" s="84"/>
      <c r="N37" s="1"/>
      <c r="O37" s="1"/>
      <c r="P37" s="1"/>
      <c r="Q37" s="1"/>
      <c r="W37" s="1"/>
      <c r="X37" s="1"/>
      <c r="Y37" s="1"/>
      <c r="AA37" s="87">
        <v>2004</v>
      </c>
    </row>
    <row r="38" spans="1:27" ht="18.75" hidden="1" customHeight="1">
      <c r="B38" s="52" t="s">
        <v>173</v>
      </c>
      <c r="C38" s="102">
        <f ca="1">IF(C$12=$O$23,IF(C$14=$E$7,$P$8,IF(C$15&gt;$P$5,0,$P$3-$P$6*C$15)),0)</f>
        <v>0</v>
      </c>
      <c r="D38" s="102">
        <f t="shared" ref="D38:M38" ca="1" si="24">IF(D$12=$O$23,IF(D$14=$E$7,$P$8,IF(D$15&gt;$P$5,0,$P$3-$P$6*D$15)),0)</f>
        <v>0</v>
      </c>
      <c r="E38" s="102">
        <f t="shared" ca="1" si="24"/>
        <v>0</v>
      </c>
      <c r="F38" s="102">
        <f t="shared" ca="1" si="24"/>
        <v>0</v>
      </c>
      <c r="G38" s="102">
        <f t="shared" ca="1" si="24"/>
        <v>0</v>
      </c>
      <c r="H38" s="102">
        <f t="shared" ca="1" si="24"/>
        <v>0</v>
      </c>
      <c r="I38" s="102">
        <f t="shared" ca="1" si="24"/>
        <v>0</v>
      </c>
      <c r="J38" s="102">
        <f t="shared" ca="1" si="24"/>
        <v>0</v>
      </c>
      <c r="K38" s="102">
        <f t="shared" ca="1" si="24"/>
        <v>0</v>
      </c>
      <c r="L38" s="102">
        <f t="shared" ca="1" si="24"/>
        <v>0</v>
      </c>
      <c r="M38" s="102">
        <f t="shared" ca="1" si="24"/>
        <v>0</v>
      </c>
      <c r="N38" s="1"/>
      <c r="O38" s="1"/>
      <c r="P38" s="1"/>
      <c r="Q38" s="1"/>
      <c r="W38" s="1"/>
      <c r="X38" s="1"/>
      <c r="Y38" s="1"/>
      <c r="AA38" s="87">
        <v>2003</v>
      </c>
    </row>
    <row r="39" spans="1:27" ht="18.75" hidden="1" customHeight="1">
      <c r="A39" s="84"/>
      <c r="B39" s="52" t="s">
        <v>174</v>
      </c>
      <c r="C39" s="103">
        <f t="shared" ref="C39:K39" ca="1" si="25">$O$23-C12+$C$4</f>
        <v>4</v>
      </c>
      <c r="D39" s="103">
        <f t="shared" ca="1" si="25"/>
        <v>4</v>
      </c>
      <c r="E39" s="103">
        <f t="shared" ca="1" si="25"/>
        <v>4</v>
      </c>
      <c r="F39" s="103">
        <f t="shared" ca="1" si="25"/>
        <v>4</v>
      </c>
      <c r="G39" s="103">
        <f t="shared" ca="1" si="25"/>
        <v>4</v>
      </c>
      <c r="H39" s="103">
        <f t="shared" ca="1" si="25"/>
        <v>4</v>
      </c>
      <c r="I39" s="103">
        <f t="shared" ca="1" si="25"/>
        <v>4</v>
      </c>
      <c r="J39" s="103">
        <f t="shared" ca="1" si="25"/>
        <v>4</v>
      </c>
      <c r="K39" s="103">
        <f t="shared" ca="1" si="25"/>
        <v>4</v>
      </c>
      <c r="L39" s="103">
        <f ca="1">IF($O$23-L12=0,0,$O$23-L12+$C$4)</f>
        <v>4</v>
      </c>
      <c r="M39" s="103">
        <f ca="1">IF($O$23-M12=0,0,$O$23-M12+$C$4)</f>
        <v>4</v>
      </c>
      <c r="N39" s="1"/>
      <c r="O39" s="1"/>
      <c r="P39" s="1"/>
      <c r="Q39" s="1"/>
      <c r="W39" s="1"/>
      <c r="X39" s="1"/>
      <c r="Y39" s="1"/>
      <c r="AA39" s="87">
        <v>2002</v>
      </c>
    </row>
    <row r="40" spans="1:27" ht="18.75" hidden="1" customHeight="1">
      <c r="A40" s="84"/>
      <c r="B40" s="52" t="s">
        <v>175</v>
      </c>
      <c r="C40" s="103">
        <f t="shared" ref="C40" ca="1" si="26">C39+$C$4</f>
        <v>7</v>
      </c>
      <c r="D40" s="103">
        <f t="shared" ref="D40" ca="1" si="27">D39+$C$4</f>
        <v>7</v>
      </c>
      <c r="E40" s="103">
        <f t="shared" ref="E40" ca="1" si="28">E39+$C$4</f>
        <v>7</v>
      </c>
      <c r="F40" s="103">
        <f ca="1">F39+$C$4</f>
        <v>7</v>
      </c>
      <c r="G40" s="103">
        <f t="shared" ref="G40" ca="1" si="29">G39+$C$4</f>
        <v>7</v>
      </c>
      <c r="H40" s="103">
        <f t="shared" ref="H40" ca="1" si="30">H39+$C$4</f>
        <v>7</v>
      </c>
      <c r="I40" s="103">
        <f t="shared" ref="I40" ca="1" si="31">I39+$C$4</f>
        <v>7</v>
      </c>
      <c r="J40" s="103">
        <f t="shared" ref="J40" ca="1" si="32">J39+$C$4</f>
        <v>7</v>
      </c>
      <c r="K40" s="103">
        <f t="shared" ref="K40" ca="1" si="33">K39+$C$4</f>
        <v>7</v>
      </c>
      <c r="L40" s="103">
        <f t="shared" ref="L40:M40" ca="1" si="34">L39+$C$4</f>
        <v>7</v>
      </c>
      <c r="M40" s="103">
        <f t="shared" ca="1" si="34"/>
        <v>7</v>
      </c>
      <c r="O40" s="1"/>
      <c r="P40" s="1"/>
      <c r="Q40" s="1"/>
      <c r="W40" s="1"/>
      <c r="X40" s="1"/>
      <c r="Y40" s="1"/>
      <c r="AA40" s="87">
        <v>2001</v>
      </c>
    </row>
    <row r="41" spans="1:27" ht="18.75" hidden="1" customHeight="1">
      <c r="A41" s="84"/>
      <c r="B41" s="52" t="s">
        <v>176</v>
      </c>
      <c r="C41" s="103">
        <f t="shared" ref="C41:D41" ca="1" si="35">MIN($C$4,IF($O$23-C$12&gt;$P$18,0,$P$18-($O$23-C$12)))</f>
        <v>2</v>
      </c>
      <c r="D41" s="103">
        <f t="shared" ca="1" si="35"/>
        <v>2</v>
      </c>
      <c r="E41" s="103">
        <f ca="1">MIN($C$4,IF($O$23-E$12&gt;$P$18,0,$P$18-($O$23-E$12)))</f>
        <v>2</v>
      </c>
      <c r="F41" s="103">
        <f ca="1">MIN($C$4,IF($O$23-F$12&gt;$P$18,0,$P$18-($O$23-F$12)))</f>
        <v>2</v>
      </c>
      <c r="G41" s="103">
        <f t="shared" ref="G41:M41" ca="1" si="36">MIN($C$4,IF($O$23-G$12&gt;$P$18,0,$P$18-($O$23-G$12)))</f>
        <v>2</v>
      </c>
      <c r="H41" s="103">
        <f t="shared" ca="1" si="36"/>
        <v>2</v>
      </c>
      <c r="I41" s="103">
        <f t="shared" ca="1" si="36"/>
        <v>2</v>
      </c>
      <c r="J41" s="103">
        <f t="shared" ca="1" si="36"/>
        <v>2</v>
      </c>
      <c r="K41" s="103">
        <f t="shared" ca="1" si="36"/>
        <v>2</v>
      </c>
      <c r="L41" s="103">
        <f t="shared" ca="1" si="36"/>
        <v>2</v>
      </c>
      <c r="M41" s="103">
        <f t="shared" ca="1" si="36"/>
        <v>2</v>
      </c>
      <c r="O41" s="1"/>
      <c r="P41" s="1"/>
      <c r="Q41" s="1"/>
      <c r="W41" s="1"/>
      <c r="X41" s="1"/>
      <c r="Y41" s="1"/>
      <c r="AA41" s="88"/>
    </row>
    <row r="42" spans="1:27" ht="18.75" hidden="1" customHeight="1">
      <c r="A42" s="84"/>
      <c r="B42" s="52" t="s">
        <v>177</v>
      </c>
      <c r="C42" s="101">
        <f t="shared" ref="C42:M42" si="37">INDEX(C$75:C$84,$C$4)</f>
        <v>0</v>
      </c>
      <c r="D42" s="101">
        <f t="shared" si="37"/>
        <v>0</v>
      </c>
      <c r="E42" s="101">
        <f t="shared" si="37"/>
        <v>0</v>
      </c>
      <c r="F42" s="101">
        <f t="shared" si="37"/>
        <v>0</v>
      </c>
      <c r="G42" s="101">
        <f t="shared" si="37"/>
        <v>0</v>
      </c>
      <c r="H42" s="101">
        <f t="shared" si="37"/>
        <v>0</v>
      </c>
      <c r="I42" s="101">
        <f t="shared" si="37"/>
        <v>0</v>
      </c>
      <c r="J42" s="101">
        <f t="shared" si="37"/>
        <v>0</v>
      </c>
      <c r="K42" s="101">
        <f t="shared" si="37"/>
        <v>0</v>
      </c>
      <c r="L42" s="101">
        <f t="shared" si="37"/>
        <v>0</v>
      </c>
      <c r="M42" s="101">
        <f t="shared" si="37"/>
        <v>0</v>
      </c>
      <c r="O42" s="1"/>
      <c r="P42" s="1"/>
      <c r="Q42" s="1"/>
      <c r="W42" s="1"/>
      <c r="X42" s="1"/>
      <c r="Y42" s="1"/>
    </row>
    <row r="43" spans="1:27" ht="18.75" hidden="1" customHeight="1">
      <c r="A43" s="2"/>
      <c r="B43" s="52" t="s">
        <v>178</v>
      </c>
      <c r="C43" s="101">
        <f t="shared" ref="C43:M43" ca="1" si="38">IFERROR(INDEX(C$95:C$104,C$41),0)</f>
        <v>706.15384615384619</v>
      </c>
      <c r="D43" s="101">
        <f t="shared" ca="1" si="38"/>
        <v>706.15384615384619</v>
      </c>
      <c r="E43" s="101">
        <f t="shared" ca="1" si="38"/>
        <v>10360.846153846152</v>
      </c>
      <c r="F43" s="101">
        <f t="shared" ca="1" si="38"/>
        <v>706.15384615384619</v>
      </c>
      <c r="G43" s="101">
        <f t="shared" ca="1" si="38"/>
        <v>706.15384615384619</v>
      </c>
      <c r="H43" s="101">
        <f t="shared" ca="1" si="38"/>
        <v>23110.846153846156</v>
      </c>
      <c r="I43" s="101">
        <f t="shared" ca="1" si="38"/>
        <v>706.15384615384619</v>
      </c>
      <c r="J43" s="101">
        <f t="shared" ca="1" si="38"/>
        <v>706.15384615384619</v>
      </c>
      <c r="K43" s="101">
        <f t="shared" ca="1" si="38"/>
        <v>15602.076923076922</v>
      </c>
      <c r="L43" s="101">
        <f t="shared" ca="1" si="38"/>
        <v>706.15384615384619</v>
      </c>
      <c r="M43" s="101">
        <f t="shared" ca="1" si="38"/>
        <v>13530.692307692309</v>
      </c>
      <c r="O43" s="1"/>
      <c r="P43" s="1"/>
      <c r="Q43" s="1"/>
      <c r="W43" s="1"/>
      <c r="X43" s="1"/>
      <c r="Y43" s="1"/>
    </row>
    <row r="44" spans="1:27" ht="18.75" hidden="1" customHeight="1">
      <c r="A44" s="2"/>
      <c r="B44" s="52" t="s">
        <v>179</v>
      </c>
      <c r="C44" s="104">
        <f t="shared" ref="C44:M44" ca="1" si="39">IF(C$41=$P$18,0,IFERROR(INDEX(C$115:C$124,$C$4-C$41),0))</f>
        <v>360</v>
      </c>
      <c r="D44" s="104">
        <f t="shared" ca="1" si="39"/>
        <v>360</v>
      </c>
      <c r="E44" s="104">
        <f t="shared" ca="1" si="39"/>
        <v>580</v>
      </c>
      <c r="F44" s="104">
        <f t="shared" ca="1" si="39"/>
        <v>360</v>
      </c>
      <c r="G44" s="104">
        <f t="shared" ca="1" si="39"/>
        <v>360</v>
      </c>
      <c r="H44" s="104">
        <f t="shared" ca="1" si="39"/>
        <v>1680</v>
      </c>
      <c r="I44" s="104">
        <f t="shared" ca="1" si="39"/>
        <v>360</v>
      </c>
      <c r="J44" s="104">
        <f t="shared" ca="1" si="39"/>
        <v>360</v>
      </c>
      <c r="K44" s="104">
        <f t="shared" ca="1" si="39"/>
        <v>1042</v>
      </c>
      <c r="L44" s="104">
        <f t="shared" ca="1" si="39"/>
        <v>360</v>
      </c>
      <c r="M44" s="104">
        <f t="shared" ca="1" si="39"/>
        <v>866</v>
      </c>
      <c r="N44" s="1"/>
      <c r="O44" s="1"/>
      <c r="P44" s="1"/>
      <c r="Q44" s="1"/>
      <c r="W44" s="1"/>
      <c r="X44" s="1"/>
      <c r="Y44" s="1"/>
    </row>
    <row r="45" spans="1:27" ht="18.75" hidden="1" customHeight="1">
      <c r="A45" s="2"/>
      <c r="B45" s="1" t="s">
        <v>180</v>
      </c>
      <c r="C45" s="5">
        <f t="shared" ref="C45:M45" si="40">IFERROR($C$3*C$16*INDEX($F$3:$F$9,MATCH(C$14,$E$3:$E$9,0))*$Y$16,0)</f>
        <v>5073</v>
      </c>
      <c r="D45" s="5">
        <f t="shared" si="40"/>
        <v>5073</v>
      </c>
      <c r="E45" s="5">
        <f t="shared" si="40"/>
        <v>15017.550000000001</v>
      </c>
      <c r="F45" s="5">
        <f t="shared" si="40"/>
        <v>3705</v>
      </c>
      <c r="G45" s="5">
        <f t="shared" si="40"/>
        <v>3705</v>
      </c>
      <c r="H45" s="5">
        <f t="shared" si="40"/>
        <v>19267.800000000003</v>
      </c>
      <c r="I45" s="5">
        <f t="shared" si="40"/>
        <v>4474.5</v>
      </c>
      <c r="J45" s="5">
        <f t="shared" si="40"/>
        <v>4474.5</v>
      </c>
      <c r="K45" s="5">
        <f t="shared" si="40"/>
        <v>17851.05</v>
      </c>
      <c r="L45" s="5">
        <f t="shared" si="40"/>
        <v>3966.9000000000005</v>
      </c>
      <c r="M45" s="5">
        <f t="shared" si="40"/>
        <v>16717.650000000001</v>
      </c>
      <c r="N45" s="1"/>
      <c r="O45" s="1"/>
      <c r="P45" s="1"/>
      <c r="Q45" s="1"/>
      <c r="W45" s="1"/>
      <c r="X45" s="1"/>
      <c r="Y45" s="1"/>
    </row>
    <row r="46" spans="1:27" ht="18.75" hidden="1" customHeight="1">
      <c r="A46" s="2"/>
      <c r="B46" s="1" t="s">
        <v>181</v>
      </c>
      <c r="C46" s="1">
        <f t="shared" ref="C46:M55" si="41">C$45</f>
        <v>5073</v>
      </c>
      <c r="D46" s="1">
        <f t="shared" si="41"/>
        <v>5073</v>
      </c>
      <c r="E46" s="1">
        <f t="shared" si="41"/>
        <v>15017.550000000001</v>
      </c>
      <c r="F46" s="1">
        <f t="shared" si="41"/>
        <v>3705</v>
      </c>
      <c r="G46" s="1">
        <f t="shared" si="41"/>
        <v>3705</v>
      </c>
      <c r="H46" s="1">
        <f t="shared" si="41"/>
        <v>19267.800000000003</v>
      </c>
      <c r="I46" s="1">
        <f t="shared" si="41"/>
        <v>4474.5</v>
      </c>
      <c r="J46" s="1">
        <f t="shared" si="41"/>
        <v>4474.5</v>
      </c>
      <c r="K46" s="1">
        <f t="shared" si="41"/>
        <v>17851.05</v>
      </c>
      <c r="L46" s="1">
        <f t="shared" si="41"/>
        <v>3966.9000000000005</v>
      </c>
      <c r="M46" s="1">
        <f t="shared" si="41"/>
        <v>16717.650000000001</v>
      </c>
      <c r="N46" s="1"/>
      <c r="O46" s="1"/>
      <c r="P46" s="1"/>
      <c r="Q46" s="1"/>
      <c r="W46" s="1"/>
      <c r="X46" s="1"/>
      <c r="Y46" s="1"/>
    </row>
    <row r="47" spans="1:27" ht="18.75" hidden="1" customHeight="1">
      <c r="A47" s="2"/>
      <c r="B47" s="1" t="s">
        <v>182</v>
      </c>
      <c r="C47" s="1">
        <f t="shared" si="41"/>
        <v>5073</v>
      </c>
      <c r="D47" s="1">
        <f t="shared" si="41"/>
        <v>5073</v>
      </c>
      <c r="E47" s="1">
        <f t="shared" si="41"/>
        <v>15017.550000000001</v>
      </c>
      <c r="F47" s="1">
        <f t="shared" si="41"/>
        <v>3705</v>
      </c>
      <c r="G47" s="1">
        <f t="shared" si="41"/>
        <v>3705</v>
      </c>
      <c r="H47" s="1">
        <f t="shared" si="41"/>
        <v>19267.800000000003</v>
      </c>
      <c r="I47" s="1">
        <f t="shared" si="41"/>
        <v>4474.5</v>
      </c>
      <c r="J47" s="1">
        <f t="shared" si="41"/>
        <v>4474.5</v>
      </c>
      <c r="K47" s="1">
        <f t="shared" si="41"/>
        <v>17851.05</v>
      </c>
      <c r="L47" s="1">
        <f t="shared" si="41"/>
        <v>3966.9000000000005</v>
      </c>
      <c r="M47" s="1">
        <f t="shared" si="41"/>
        <v>16717.650000000001</v>
      </c>
      <c r="N47" s="1"/>
      <c r="O47" s="1"/>
      <c r="P47" s="1"/>
      <c r="Q47" s="1"/>
      <c r="W47" s="1"/>
      <c r="X47" s="1"/>
      <c r="Y47" s="1"/>
    </row>
    <row r="48" spans="1:27" ht="18.75" hidden="1" customHeight="1">
      <c r="A48" s="2"/>
      <c r="B48" s="1" t="s">
        <v>183</v>
      </c>
      <c r="C48" s="1">
        <f t="shared" si="41"/>
        <v>5073</v>
      </c>
      <c r="D48" s="1">
        <f t="shared" si="41"/>
        <v>5073</v>
      </c>
      <c r="E48" s="1">
        <f t="shared" si="41"/>
        <v>15017.550000000001</v>
      </c>
      <c r="F48" s="1">
        <f t="shared" si="41"/>
        <v>3705</v>
      </c>
      <c r="G48" s="1">
        <f t="shared" si="41"/>
        <v>3705</v>
      </c>
      <c r="H48" s="1">
        <f t="shared" si="41"/>
        <v>19267.800000000003</v>
      </c>
      <c r="I48" s="1">
        <f t="shared" si="41"/>
        <v>4474.5</v>
      </c>
      <c r="J48" s="1">
        <f t="shared" si="41"/>
        <v>4474.5</v>
      </c>
      <c r="K48" s="1">
        <f t="shared" si="41"/>
        <v>17851.05</v>
      </c>
      <c r="L48" s="1">
        <f t="shared" si="41"/>
        <v>3966.9000000000005</v>
      </c>
      <c r="M48" s="1">
        <f t="shared" si="41"/>
        <v>16717.650000000001</v>
      </c>
      <c r="N48" s="1"/>
      <c r="O48" s="1"/>
      <c r="P48" s="1"/>
      <c r="Q48" s="1"/>
      <c r="W48" s="1"/>
      <c r="X48" s="1"/>
      <c r="Y48" s="1"/>
    </row>
    <row r="49" spans="1:39" ht="18.75" hidden="1" customHeight="1">
      <c r="A49" s="2"/>
      <c r="B49" s="1" t="s">
        <v>184</v>
      </c>
      <c r="C49" s="1">
        <f t="shared" si="41"/>
        <v>5073</v>
      </c>
      <c r="D49" s="1">
        <f t="shared" si="41"/>
        <v>5073</v>
      </c>
      <c r="E49" s="1">
        <f t="shared" si="41"/>
        <v>15017.550000000001</v>
      </c>
      <c r="F49" s="1">
        <f t="shared" si="41"/>
        <v>3705</v>
      </c>
      <c r="G49" s="1">
        <f t="shared" si="41"/>
        <v>3705</v>
      </c>
      <c r="H49" s="1">
        <f t="shared" si="41"/>
        <v>19267.800000000003</v>
      </c>
      <c r="I49" s="1">
        <f t="shared" si="41"/>
        <v>4474.5</v>
      </c>
      <c r="J49" s="1">
        <f t="shared" si="41"/>
        <v>4474.5</v>
      </c>
      <c r="K49" s="1">
        <f t="shared" si="41"/>
        <v>17851.05</v>
      </c>
      <c r="L49" s="1">
        <f t="shared" si="41"/>
        <v>3966.9000000000005</v>
      </c>
      <c r="M49" s="1">
        <f t="shared" si="41"/>
        <v>16717.650000000001</v>
      </c>
      <c r="N49" s="1"/>
      <c r="O49" s="1"/>
      <c r="P49" s="1"/>
      <c r="Q49" s="1"/>
      <c r="R49" s="1"/>
      <c r="S49" s="1"/>
      <c r="T49" s="1"/>
    </row>
    <row r="50" spans="1:39" ht="18.75" hidden="1" customHeight="1">
      <c r="A50" s="2"/>
      <c r="B50" s="1" t="s">
        <v>185</v>
      </c>
      <c r="C50" s="1">
        <f t="shared" si="41"/>
        <v>5073</v>
      </c>
      <c r="D50" s="1">
        <f t="shared" si="41"/>
        <v>5073</v>
      </c>
      <c r="E50" s="1">
        <f t="shared" si="41"/>
        <v>15017.550000000001</v>
      </c>
      <c r="F50" s="1">
        <f t="shared" si="41"/>
        <v>3705</v>
      </c>
      <c r="G50" s="1">
        <f t="shared" si="41"/>
        <v>3705</v>
      </c>
      <c r="H50" s="1">
        <f t="shared" si="41"/>
        <v>19267.800000000003</v>
      </c>
      <c r="I50" s="1">
        <f t="shared" si="41"/>
        <v>4474.5</v>
      </c>
      <c r="J50" s="1">
        <f t="shared" si="41"/>
        <v>4474.5</v>
      </c>
      <c r="K50" s="1">
        <f t="shared" si="41"/>
        <v>17851.05</v>
      </c>
      <c r="L50" s="1">
        <f t="shared" si="41"/>
        <v>3966.9000000000005</v>
      </c>
      <c r="M50" s="1">
        <f t="shared" si="41"/>
        <v>16717.650000000001</v>
      </c>
      <c r="N50" s="1"/>
      <c r="O50" s="1"/>
      <c r="P50" s="1"/>
      <c r="Q50" s="1"/>
      <c r="R50" s="1" t="s">
        <v>186</v>
      </c>
      <c r="S50" s="1"/>
      <c r="T50" s="1"/>
    </row>
    <row r="51" spans="1:39" ht="18.75" hidden="1" customHeight="1">
      <c r="A51" s="2"/>
      <c r="B51" s="1" t="s">
        <v>187</v>
      </c>
      <c r="C51" s="1">
        <f t="shared" si="41"/>
        <v>5073</v>
      </c>
      <c r="D51" s="1">
        <f t="shared" si="41"/>
        <v>5073</v>
      </c>
      <c r="E51" s="1">
        <f t="shared" si="41"/>
        <v>15017.550000000001</v>
      </c>
      <c r="F51" s="1">
        <f t="shared" si="41"/>
        <v>3705</v>
      </c>
      <c r="G51" s="1">
        <f t="shared" si="41"/>
        <v>3705</v>
      </c>
      <c r="H51" s="1">
        <f t="shared" si="41"/>
        <v>19267.800000000003</v>
      </c>
      <c r="I51" s="1">
        <f t="shared" si="41"/>
        <v>4474.5</v>
      </c>
      <c r="J51" s="1">
        <f t="shared" si="41"/>
        <v>4474.5</v>
      </c>
      <c r="K51" s="1">
        <f t="shared" si="41"/>
        <v>17851.05</v>
      </c>
      <c r="L51" s="1">
        <f t="shared" si="41"/>
        <v>3966.9000000000005</v>
      </c>
      <c r="M51" s="1">
        <f t="shared" si="41"/>
        <v>16717.650000000001</v>
      </c>
      <c r="N51" s="1"/>
      <c r="O51" s="1"/>
      <c r="P51" s="1"/>
      <c r="Q51" s="1"/>
      <c r="R51" s="1" t="s">
        <v>188</v>
      </c>
      <c r="S51" s="1"/>
      <c r="T51" s="1"/>
    </row>
    <row r="52" spans="1:39" ht="18.75" hidden="1" customHeight="1">
      <c r="A52" s="2"/>
      <c r="B52" s="1" t="s">
        <v>189</v>
      </c>
      <c r="C52" s="1">
        <f t="shared" si="41"/>
        <v>5073</v>
      </c>
      <c r="D52" s="1">
        <f t="shared" si="41"/>
        <v>5073</v>
      </c>
      <c r="E52" s="1">
        <f t="shared" si="41"/>
        <v>15017.550000000001</v>
      </c>
      <c r="F52" s="1">
        <f t="shared" si="41"/>
        <v>3705</v>
      </c>
      <c r="G52" s="1">
        <f t="shared" si="41"/>
        <v>3705</v>
      </c>
      <c r="H52" s="1">
        <f t="shared" si="41"/>
        <v>19267.800000000003</v>
      </c>
      <c r="I52" s="1">
        <f t="shared" si="41"/>
        <v>4474.5</v>
      </c>
      <c r="J52" s="1">
        <f t="shared" si="41"/>
        <v>4474.5</v>
      </c>
      <c r="K52" s="1">
        <f t="shared" si="41"/>
        <v>17851.05</v>
      </c>
      <c r="L52" s="1">
        <f t="shared" si="41"/>
        <v>3966.9000000000005</v>
      </c>
      <c r="M52" s="1">
        <f t="shared" si="41"/>
        <v>16717.650000000001</v>
      </c>
      <c r="N52" s="1"/>
      <c r="O52" s="1"/>
      <c r="P52" s="1"/>
      <c r="Q52" s="1"/>
      <c r="R52" s="1"/>
      <c r="S52" s="1"/>
      <c r="T52" s="1"/>
    </row>
    <row r="53" spans="1:39" ht="18.75" hidden="1" customHeight="1">
      <c r="A53" s="2"/>
      <c r="B53" s="1" t="s">
        <v>190</v>
      </c>
      <c r="C53" s="1">
        <f t="shared" si="41"/>
        <v>5073</v>
      </c>
      <c r="D53" s="1">
        <f t="shared" si="41"/>
        <v>5073</v>
      </c>
      <c r="E53" s="1">
        <f t="shared" si="41"/>
        <v>15017.550000000001</v>
      </c>
      <c r="F53" s="1">
        <f t="shared" si="41"/>
        <v>3705</v>
      </c>
      <c r="G53" s="1">
        <f t="shared" si="41"/>
        <v>3705</v>
      </c>
      <c r="H53" s="1">
        <f t="shared" si="41"/>
        <v>19267.800000000003</v>
      </c>
      <c r="I53" s="1">
        <f t="shared" si="41"/>
        <v>4474.5</v>
      </c>
      <c r="J53" s="1">
        <f t="shared" si="41"/>
        <v>4474.5</v>
      </c>
      <c r="K53" s="1">
        <f t="shared" si="41"/>
        <v>17851.05</v>
      </c>
      <c r="L53" s="1">
        <f t="shared" si="41"/>
        <v>3966.9000000000005</v>
      </c>
      <c r="M53" s="1">
        <f t="shared" si="41"/>
        <v>16717.650000000001</v>
      </c>
      <c r="N53" s="1"/>
      <c r="O53" s="1"/>
      <c r="P53" s="1"/>
      <c r="Q53" s="1">
        <v>1</v>
      </c>
      <c r="R53" s="1">
        <v>2</v>
      </c>
      <c r="S53" s="1">
        <v>3</v>
      </c>
      <c r="T53" s="1">
        <v>4</v>
      </c>
      <c r="U53">
        <v>5</v>
      </c>
      <c r="V53">
        <v>6</v>
      </c>
      <c r="W53">
        <v>7</v>
      </c>
      <c r="X53">
        <v>8</v>
      </c>
      <c r="Y53">
        <v>9</v>
      </c>
      <c r="Z53">
        <v>10</v>
      </c>
      <c r="AA53">
        <v>11</v>
      </c>
      <c r="AB53">
        <v>12</v>
      </c>
      <c r="AC53">
        <v>13</v>
      </c>
      <c r="AD53">
        <v>14</v>
      </c>
      <c r="AE53">
        <v>15</v>
      </c>
      <c r="AF53">
        <v>16</v>
      </c>
      <c r="AG53">
        <v>17</v>
      </c>
      <c r="AH53">
        <v>18</v>
      </c>
      <c r="AI53">
        <v>19</v>
      </c>
      <c r="AJ53">
        <v>20</v>
      </c>
      <c r="AK53">
        <v>21</v>
      </c>
      <c r="AL53">
        <v>22</v>
      </c>
    </row>
    <row r="54" spans="1:39" ht="18.75" hidden="1" customHeight="1">
      <c r="A54" s="2"/>
      <c r="B54" s="12" t="s">
        <v>191</v>
      </c>
      <c r="C54" s="12">
        <f t="shared" si="41"/>
        <v>5073</v>
      </c>
      <c r="D54" s="12">
        <f t="shared" si="41"/>
        <v>5073</v>
      </c>
      <c r="E54" s="12">
        <f t="shared" si="41"/>
        <v>15017.550000000001</v>
      </c>
      <c r="F54" s="12">
        <f t="shared" si="41"/>
        <v>3705</v>
      </c>
      <c r="G54" s="12">
        <f t="shared" si="41"/>
        <v>3705</v>
      </c>
      <c r="H54" s="12">
        <f t="shared" si="41"/>
        <v>19267.800000000003</v>
      </c>
      <c r="I54" s="12">
        <f t="shared" si="41"/>
        <v>4474.5</v>
      </c>
      <c r="J54" s="12">
        <f t="shared" si="41"/>
        <v>4474.5</v>
      </c>
      <c r="K54" s="12">
        <f t="shared" si="41"/>
        <v>17851.05</v>
      </c>
      <c r="L54" s="12">
        <f t="shared" si="41"/>
        <v>3966.9000000000005</v>
      </c>
      <c r="M54" s="12">
        <f t="shared" si="41"/>
        <v>16717.650000000001</v>
      </c>
      <c r="N54" s="1"/>
      <c r="O54" s="1"/>
      <c r="P54" s="1">
        <v>2022</v>
      </c>
      <c r="Q54" s="136">
        <v>0.77234000000000003</v>
      </c>
      <c r="R54" s="136">
        <v>0.69032000000000004</v>
      </c>
      <c r="S54" s="136">
        <v>0.61517999999999995</v>
      </c>
      <c r="T54" s="136">
        <v>0.54656000000000005</v>
      </c>
      <c r="U54" s="136">
        <v>0.48410000000000009</v>
      </c>
      <c r="V54" s="136">
        <v>0.42743999999999993</v>
      </c>
      <c r="W54" s="136">
        <v>0.37622</v>
      </c>
      <c r="X54" s="136">
        <v>0.33008000000000004</v>
      </c>
      <c r="Y54" s="136">
        <v>0.28866000000000003</v>
      </c>
      <c r="Z54" s="136">
        <v>0.25160000000000016</v>
      </c>
      <c r="AA54" s="136">
        <v>0.21854000000000007</v>
      </c>
      <c r="AB54" s="136">
        <v>0.18911999999999995</v>
      </c>
      <c r="AC54" s="136">
        <v>0.1629799999999999</v>
      </c>
      <c r="AD54" s="136">
        <v>0.13976</v>
      </c>
      <c r="AE54" s="136">
        <v>0.11909999999999998</v>
      </c>
      <c r="AF54" s="136">
        <v>0.10063999999999995</v>
      </c>
      <c r="AG54" s="136">
        <v>8.4020000000000095E-2</v>
      </c>
      <c r="AH54" s="136">
        <v>6.8880000000000163E-2</v>
      </c>
      <c r="AI54" s="136">
        <v>5.486000000000002E-2</v>
      </c>
      <c r="AJ54" s="136">
        <v>4.1600000000000192E-2</v>
      </c>
      <c r="AK54" s="136">
        <v>2.8739999999999877E-2</v>
      </c>
      <c r="AL54" s="136">
        <v>1.5920000000000045E-2</v>
      </c>
      <c r="AM54" s="136"/>
    </row>
    <row r="55" spans="1:39" ht="18.75" hidden="1" customHeight="1">
      <c r="A55" s="2"/>
      <c r="B55" s="1" t="s">
        <v>192</v>
      </c>
      <c r="C55" s="4">
        <f t="shared" si="41"/>
        <v>5073</v>
      </c>
      <c r="D55" s="4">
        <f t="shared" si="41"/>
        <v>5073</v>
      </c>
      <c r="E55" s="4">
        <f t="shared" si="41"/>
        <v>15017.550000000001</v>
      </c>
      <c r="F55" s="4">
        <f t="shared" si="41"/>
        <v>3705</v>
      </c>
      <c r="G55" s="4">
        <f t="shared" si="41"/>
        <v>3705</v>
      </c>
      <c r="H55" s="4">
        <f t="shared" si="41"/>
        <v>19267.800000000003</v>
      </c>
      <c r="I55" s="4">
        <f t="shared" si="41"/>
        <v>4474.5</v>
      </c>
      <c r="J55" s="4">
        <f t="shared" si="41"/>
        <v>4474.5</v>
      </c>
      <c r="K55" s="4">
        <f t="shared" si="41"/>
        <v>17851.05</v>
      </c>
      <c r="L55" s="4">
        <f t="shared" si="41"/>
        <v>3966.9000000000005</v>
      </c>
      <c r="M55" s="4">
        <f t="shared" si="41"/>
        <v>16717.650000000001</v>
      </c>
      <c r="N55" s="1"/>
      <c r="O55" s="1"/>
      <c r="P55" s="1">
        <v>2021</v>
      </c>
      <c r="Q55" s="136">
        <v>0.91798000000000002</v>
      </c>
      <c r="R55" s="136">
        <v>0.84283999999999992</v>
      </c>
      <c r="S55" s="136">
        <v>0.77422000000000002</v>
      </c>
      <c r="T55" s="136">
        <v>0.71176000000000006</v>
      </c>
      <c r="U55" s="136">
        <v>0.6550999999999999</v>
      </c>
      <c r="V55" s="136">
        <v>0.60387999999999997</v>
      </c>
      <c r="W55" s="136">
        <v>0.55774000000000001</v>
      </c>
      <c r="X55" s="136">
        <v>0.51632</v>
      </c>
      <c r="Y55" s="136">
        <v>0.47926000000000013</v>
      </c>
      <c r="Z55" s="136">
        <v>0.44620000000000004</v>
      </c>
      <c r="AA55" s="136">
        <v>0.41677999999999993</v>
      </c>
      <c r="AB55" s="136">
        <v>0.39063999999999988</v>
      </c>
      <c r="AC55" s="136">
        <v>0.36741999999999997</v>
      </c>
      <c r="AD55" s="136">
        <v>0.34675999999999996</v>
      </c>
      <c r="AE55" s="136">
        <v>0.32829999999999993</v>
      </c>
      <c r="AF55" s="136">
        <v>0.31168000000000007</v>
      </c>
      <c r="AG55" s="136">
        <v>0.29654000000000014</v>
      </c>
      <c r="AH55" s="136">
        <v>0.28251999999999999</v>
      </c>
      <c r="AI55" s="136">
        <v>0.26926000000000017</v>
      </c>
      <c r="AJ55" s="136">
        <v>0.25639999999999985</v>
      </c>
      <c r="AK55" s="136">
        <v>0.24358000000000002</v>
      </c>
      <c r="AL55" s="136"/>
      <c r="AM55" s="136"/>
    </row>
    <row r="56" spans="1:39" ht="18.75" hidden="1" customHeight="1">
      <c r="A56" s="2"/>
      <c r="B56" s="1" t="s">
        <v>193</v>
      </c>
      <c r="C56" s="4">
        <f t="shared" ref="C56:M56" si="42">C$45+NPV($J$2,C46)</f>
        <v>9950.8846153846152</v>
      </c>
      <c r="D56" s="4">
        <f t="shared" si="42"/>
        <v>9950.8846153846152</v>
      </c>
      <c r="E56" s="4">
        <f t="shared" si="42"/>
        <v>29457.501923076925</v>
      </c>
      <c r="F56" s="4">
        <f t="shared" si="42"/>
        <v>7267.5</v>
      </c>
      <c r="G56" s="4">
        <f t="shared" si="42"/>
        <v>7267.5</v>
      </c>
      <c r="H56" s="4">
        <f t="shared" si="42"/>
        <v>37794.530769230776</v>
      </c>
      <c r="I56" s="4">
        <f t="shared" si="42"/>
        <v>8776.9038461538457</v>
      </c>
      <c r="J56" s="4">
        <f t="shared" si="42"/>
        <v>8776.9038461538457</v>
      </c>
      <c r="K56" s="4">
        <f t="shared" si="42"/>
        <v>35015.521153846152</v>
      </c>
      <c r="L56" s="4">
        <f t="shared" ref="L56" si="43">L$45+NPV($J$2,L46)</f>
        <v>7781.2269230769234</v>
      </c>
      <c r="M56" s="4">
        <f t="shared" si="42"/>
        <v>32792.313461538462</v>
      </c>
      <c r="N56" s="1"/>
      <c r="O56" s="1"/>
      <c r="P56" s="1">
        <v>2020</v>
      </c>
      <c r="Q56" s="136">
        <v>0.9248599999999999</v>
      </c>
      <c r="R56" s="136">
        <v>0.85624</v>
      </c>
      <c r="S56" s="136">
        <v>0.79378000000000004</v>
      </c>
      <c r="T56" s="136">
        <v>0.73711999999999989</v>
      </c>
      <c r="U56" s="136">
        <v>0.68589999999999995</v>
      </c>
      <c r="V56" s="136">
        <v>0.63976</v>
      </c>
      <c r="W56" s="136">
        <v>0.59833999999999998</v>
      </c>
      <c r="X56" s="136">
        <v>0.56128000000000011</v>
      </c>
      <c r="Y56" s="136">
        <v>0.52822000000000002</v>
      </c>
      <c r="Z56" s="136">
        <v>0.49879999999999991</v>
      </c>
      <c r="AA56" s="136">
        <v>0.47265999999999986</v>
      </c>
      <c r="AB56" s="136">
        <v>0.44943999999999995</v>
      </c>
      <c r="AC56" s="136">
        <v>0.42877999999999994</v>
      </c>
      <c r="AD56" s="136">
        <v>0.41031999999999991</v>
      </c>
      <c r="AE56" s="136">
        <v>0.39370000000000005</v>
      </c>
      <c r="AF56" s="136">
        <v>0.37856000000000012</v>
      </c>
      <c r="AG56" s="136">
        <v>0.36453999999999998</v>
      </c>
      <c r="AH56" s="136">
        <v>0.35128000000000015</v>
      </c>
      <c r="AI56" s="136">
        <v>0.33841999999999983</v>
      </c>
      <c r="AJ56" s="136">
        <v>0.3256</v>
      </c>
      <c r="AK56" s="136"/>
      <c r="AL56" s="136"/>
      <c r="AM56" s="136"/>
    </row>
    <row r="57" spans="1:39" ht="18.75" hidden="1" customHeight="1">
      <c r="A57" s="2"/>
      <c r="B57" s="1" t="s">
        <v>194</v>
      </c>
      <c r="C57" s="4">
        <f t="shared" ref="C57:M57" si="44">C$45+NPV($J$2,C46:C47)</f>
        <v>14641.158284023668</v>
      </c>
      <c r="D57" s="4">
        <f t="shared" si="44"/>
        <v>14641.158284023668</v>
      </c>
      <c r="E57" s="4">
        <f t="shared" si="44"/>
        <v>43342.071079881658</v>
      </c>
      <c r="F57" s="4">
        <f t="shared" si="44"/>
        <v>10692.98076923077</v>
      </c>
      <c r="G57" s="4">
        <f t="shared" si="44"/>
        <v>10692.98076923077</v>
      </c>
      <c r="H57" s="4">
        <f t="shared" si="44"/>
        <v>55608.69497041421</v>
      </c>
      <c r="I57" s="4">
        <f t="shared" si="44"/>
        <v>12913.830621301775</v>
      </c>
      <c r="J57" s="4">
        <f t="shared" si="44"/>
        <v>12913.830621301775</v>
      </c>
      <c r="K57" s="4">
        <f t="shared" si="44"/>
        <v>51519.820340236678</v>
      </c>
      <c r="L57" s="4">
        <f t="shared" ref="L57" si="45">L$45+NPV($J$2,L46:L47)</f>
        <v>11448.848964497043</v>
      </c>
      <c r="M57" s="4">
        <f t="shared" si="44"/>
        <v>48248.720636094673</v>
      </c>
      <c r="N57" s="1"/>
      <c r="O57" s="1"/>
      <c r="P57" s="1">
        <v>2019</v>
      </c>
      <c r="Q57" s="136">
        <v>0.9313800000000001</v>
      </c>
      <c r="R57" s="136">
        <v>0.86892000000000014</v>
      </c>
      <c r="S57" s="136">
        <v>0.81225999999999998</v>
      </c>
      <c r="T57" s="136">
        <v>0.76104000000000005</v>
      </c>
      <c r="U57" s="136">
        <v>0.71490000000000009</v>
      </c>
      <c r="V57" s="136">
        <v>0.67348000000000008</v>
      </c>
      <c r="W57" s="136">
        <v>0.63642000000000021</v>
      </c>
      <c r="X57" s="136">
        <v>0.60336000000000012</v>
      </c>
      <c r="Y57" s="136">
        <v>0.57394000000000001</v>
      </c>
      <c r="Z57" s="136">
        <v>0.54779999999999995</v>
      </c>
      <c r="AA57" s="136">
        <v>0.52458000000000005</v>
      </c>
      <c r="AB57" s="136">
        <v>0.50392000000000003</v>
      </c>
      <c r="AC57" s="136">
        <v>0.48546</v>
      </c>
      <c r="AD57" s="136">
        <v>0.46884000000000015</v>
      </c>
      <c r="AE57" s="136">
        <v>0.45370000000000021</v>
      </c>
      <c r="AF57" s="136">
        <v>0.43968000000000007</v>
      </c>
      <c r="AG57" s="136">
        <v>0.42642000000000024</v>
      </c>
      <c r="AH57" s="136">
        <v>0.41355999999999993</v>
      </c>
      <c r="AI57" s="136"/>
      <c r="AJ57" s="136"/>
      <c r="AK57" s="136"/>
      <c r="AL57" s="136"/>
      <c r="AM57" s="136"/>
    </row>
    <row r="58" spans="1:39" ht="18.75" hidden="1" customHeight="1">
      <c r="A58" s="2"/>
      <c r="B58" s="1" t="s">
        <v>195</v>
      </c>
      <c r="C58" s="4">
        <f t="shared" ref="C58:M58" si="46">C$45+NPV($J$2,C46:C48)</f>
        <v>19151.036811561218</v>
      </c>
      <c r="D58" s="4">
        <f t="shared" si="46"/>
        <v>19151.036811561218</v>
      </c>
      <c r="E58" s="4">
        <f t="shared" si="46"/>
        <v>56692.618346040057</v>
      </c>
      <c r="F58" s="4">
        <f t="shared" si="46"/>
        <v>13986.712278106508</v>
      </c>
      <c r="G58" s="4">
        <f t="shared" si="46"/>
        <v>13986.712278106508</v>
      </c>
      <c r="H58" s="4">
        <f t="shared" si="46"/>
        <v>72737.699010013661</v>
      </c>
      <c r="I58" s="4">
        <f t="shared" si="46"/>
        <v>16891.644828174783</v>
      </c>
      <c r="J58" s="4">
        <f t="shared" si="46"/>
        <v>16891.644828174783</v>
      </c>
      <c r="K58" s="4">
        <f t="shared" si="46"/>
        <v>67389.338788689114</v>
      </c>
      <c r="L58" s="4">
        <f t="shared" ref="L58" si="47">L$45+NPV($J$2,L46:L48)</f>
        <v>14975.408619708694</v>
      </c>
      <c r="M58" s="4">
        <f t="shared" si="46"/>
        <v>63110.650611629491</v>
      </c>
      <c r="N58" s="1"/>
      <c r="O58" s="1"/>
      <c r="P58" s="1">
        <v>2018</v>
      </c>
      <c r="Q58" s="136">
        <v>0.93754000000000004</v>
      </c>
      <c r="R58" s="136">
        <v>0.88087999999999989</v>
      </c>
      <c r="S58" s="136">
        <v>0.82965999999999995</v>
      </c>
      <c r="T58" s="136">
        <v>0.78351999999999999</v>
      </c>
      <c r="U58" s="136">
        <v>0.74209999999999998</v>
      </c>
      <c r="V58" s="136">
        <v>0.70504000000000011</v>
      </c>
      <c r="W58" s="136">
        <v>0.67198000000000002</v>
      </c>
      <c r="X58" s="136">
        <v>0.64255999999999991</v>
      </c>
      <c r="Y58" s="136">
        <v>0.61641999999999986</v>
      </c>
      <c r="Z58" s="136">
        <v>0.59319999999999995</v>
      </c>
      <c r="AA58" s="136">
        <v>0.57253999999999994</v>
      </c>
      <c r="AB58" s="136">
        <v>0.55407999999999991</v>
      </c>
      <c r="AC58" s="136">
        <v>0.53746000000000005</v>
      </c>
      <c r="AD58" s="136">
        <v>0.52232000000000012</v>
      </c>
      <c r="AE58" s="136">
        <v>0.50829999999999997</v>
      </c>
      <c r="AF58" s="136">
        <v>0.49504000000000015</v>
      </c>
      <c r="AG58" s="136">
        <v>0.48217999999999983</v>
      </c>
      <c r="AH58" s="136">
        <v>0.46936</v>
      </c>
      <c r="AI58" s="136"/>
      <c r="AJ58" s="136"/>
      <c r="AK58" s="136"/>
      <c r="AL58" s="136"/>
      <c r="AM58" s="136"/>
    </row>
    <row r="59" spans="1:39" ht="18.75" hidden="1" customHeight="1">
      <c r="A59" s="2"/>
      <c r="B59" s="1" t="s">
        <v>196</v>
      </c>
      <c r="C59" s="4">
        <f t="shared" ref="C59:M59" si="48">C$45+NPV($J$2,C46:C49)</f>
        <v>23487.458472655017</v>
      </c>
      <c r="D59" s="4">
        <f t="shared" si="48"/>
        <v>23487.458472655017</v>
      </c>
      <c r="E59" s="4">
        <f t="shared" si="48"/>
        <v>69529.68302503851</v>
      </c>
      <c r="F59" s="4">
        <f t="shared" si="48"/>
        <v>17153.76180587164</v>
      </c>
      <c r="G59" s="4">
        <f t="shared" si="48"/>
        <v>17153.76180587164</v>
      </c>
      <c r="H59" s="4">
        <f t="shared" si="48"/>
        <v>89207.895201936219</v>
      </c>
      <c r="I59" s="4">
        <f t="shared" si="48"/>
        <v>20716.466180937292</v>
      </c>
      <c r="J59" s="4">
        <f t="shared" si="48"/>
        <v>20716.466180937292</v>
      </c>
      <c r="K59" s="4">
        <f t="shared" si="48"/>
        <v>82648.491142970306</v>
      </c>
      <c r="L59" s="4">
        <f t="shared" ref="L59" si="49">L$45+NPV($J$2,L46:L49)</f>
        <v>18366.331365104514</v>
      </c>
      <c r="M59" s="4">
        <f t="shared" si="48"/>
        <v>77400.967895797585</v>
      </c>
      <c r="N59" s="1"/>
      <c r="O59" s="1"/>
      <c r="P59" s="1">
        <v>2017</v>
      </c>
      <c r="Q59" s="136">
        <v>0.94333999999999985</v>
      </c>
      <c r="R59" s="136">
        <v>0.89211999999999991</v>
      </c>
      <c r="S59" s="136">
        <v>0.84597999999999995</v>
      </c>
      <c r="T59" s="136">
        <v>0.80455999999999994</v>
      </c>
      <c r="U59" s="136">
        <v>0.76750000000000007</v>
      </c>
      <c r="V59" s="136">
        <v>0.73443999999999998</v>
      </c>
      <c r="W59" s="136">
        <v>0.70501999999999987</v>
      </c>
      <c r="X59" s="136">
        <v>0.67887999999999982</v>
      </c>
      <c r="Y59" s="136">
        <v>0.65565999999999991</v>
      </c>
      <c r="Z59" s="136">
        <v>0.6349999999999999</v>
      </c>
      <c r="AA59" s="136">
        <v>0.61653999999999987</v>
      </c>
      <c r="AB59" s="136">
        <v>0.59992000000000001</v>
      </c>
      <c r="AC59" s="136">
        <v>0.58478000000000008</v>
      </c>
      <c r="AD59" s="136">
        <v>0.57075999999999993</v>
      </c>
      <c r="AE59" s="136">
        <v>0.55750000000000011</v>
      </c>
      <c r="AF59" s="136">
        <v>0.54463999999999979</v>
      </c>
      <c r="AG59" s="136">
        <v>0.53181999999999996</v>
      </c>
      <c r="AH59" s="136"/>
      <c r="AI59" s="136"/>
      <c r="AJ59" s="136"/>
      <c r="AK59" s="136"/>
      <c r="AL59" s="136"/>
      <c r="AM59" s="136"/>
    </row>
    <row r="60" spans="1:39" ht="18.75" hidden="1" customHeight="1">
      <c r="A60" s="2"/>
      <c r="B60" s="1" t="s">
        <v>197</v>
      </c>
      <c r="C60" s="4">
        <f t="shared" ref="C60:M60" si="50">C$45+NPV($J$2,C46:C50)</f>
        <v>27657.094685245207</v>
      </c>
      <c r="D60" s="4">
        <f t="shared" si="50"/>
        <v>27657.094685245207</v>
      </c>
      <c r="E60" s="4">
        <f t="shared" si="50"/>
        <v>81873.014447152411</v>
      </c>
      <c r="F60" s="4">
        <f t="shared" si="50"/>
        <v>20199.001736415041</v>
      </c>
      <c r="G60" s="4">
        <f t="shared" si="50"/>
        <v>20199.001736415041</v>
      </c>
      <c r="H60" s="4">
        <f t="shared" si="50"/>
        <v>105044.62230955406</v>
      </c>
      <c r="I60" s="4">
        <f t="shared" si="50"/>
        <v>24394.179020132011</v>
      </c>
      <c r="J60" s="4">
        <f t="shared" si="50"/>
        <v>24394.179020132011</v>
      </c>
      <c r="K60" s="4">
        <f t="shared" si="50"/>
        <v>97320.753022086836</v>
      </c>
      <c r="L60" s="4">
        <f t="shared" ref="L60" si="51">L$45+NPV($J$2,L46:L50)</f>
        <v>21626.834004908185</v>
      </c>
      <c r="M60" s="4">
        <f t="shared" si="50"/>
        <v>91141.657592113072</v>
      </c>
      <c r="N60" s="1"/>
      <c r="O60" s="1"/>
      <c r="P60" s="1">
        <v>2016</v>
      </c>
      <c r="Q60" s="136">
        <v>0.94878000000000007</v>
      </c>
      <c r="R60" s="136">
        <v>0.90264000000000011</v>
      </c>
      <c r="S60" s="136">
        <v>0.8612200000000001</v>
      </c>
      <c r="T60" s="136">
        <v>0.82416000000000023</v>
      </c>
      <c r="U60" s="136">
        <v>0.79110000000000014</v>
      </c>
      <c r="V60" s="136">
        <v>0.76168000000000002</v>
      </c>
      <c r="W60" s="136">
        <v>0.73553999999999997</v>
      </c>
      <c r="X60" s="136">
        <v>0.71232000000000006</v>
      </c>
      <c r="Y60" s="136">
        <v>0.69166000000000005</v>
      </c>
      <c r="Z60" s="136">
        <v>0.67320000000000002</v>
      </c>
      <c r="AA60" s="136">
        <v>0.65658000000000016</v>
      </c>
      <c r="AB60" s="136">
        <v>0.64144000000000023</v>
      </c>
      <c r="AC60" s="136">
        <v>0.62742000000000009</v>
      </c>
      <c r="AD60" s="136">
        <v>0.61416000000000026</v>
      </c>
      <c r="AE60" s="136">
        <v>0.60129999999999995</v>
      </c>
      <c r="AF60" s="136">
        <v>0.58848000000000011</v>
      </c>
      <c r="AG60" s="136"/>
      <c r="AH60" s="136"/>
      <c r="AI60" s="136"/>
      <c r="AJ60" s="136"/>
      <c r="AK60" s="136"/>
      <c r="AL60" s="136"/>
      <c r="AM60" s="136"/>
    </row>
    <row r="61" spans="1:39" ht="18.75" hidden="1" customHeight="1">
      <c r="A61" s="2"/>
      <c r="B61" s="1" t="s">
        <v>198</v>
      </c>
      <c r="C61" s="4">
        <f t="shared" ref="C61:M61" si="52">C$45+NPV($J$2,C46:C51)</f>
        <v>31666.360274274237</v>
      </c>
      <c r="D61" s="4">
        <f t="shared" si="52"/>
        <v>31666.360274274237</v>
      </c>
      <c r="E61" s="4">
        <f t="shared" si="52"/>
        <v>93741.602353031165</v>
      </c>
      <c r="F61" s="4">
        <f t="shared" si="52"/>
        <v>23127.117054245231</v>
      </c>
      <c r="G61" s="4">
        <f t="shared" si="52"/>
        <v>23127.117054245231</v>
      </c>
      <c r="H61" s="4">
        <f t="shared" si="52"/>
        <v>120272.24452841736</v>
      </c>
      <c r="I61" s="4">
        <f t="shared" si="52"/>
        <v>27930.44136551155</v>
      </c>
      <c r="J61" s="4">
        <f t="shared" si="52"/>
        <v>27930.44136551155</v>
      </c>
      <c r="K61" s="4">
        <f t="shared" si="52"/>
        <v>111428.69713662195</v>
      </c>
      <c r="L61" s="4">
        <f t="shared" ref="L61" si="53">L$45+NPV($J$2,L46:L51)</f>
        <v>24761.932697027103</v>
      </c>
      <c r="M61" s="4">
        <f t="shared" si="52"/>
        <v>104353.85922318563</v>
      </c>
      <c r="N61" s="1"/>
      <c r="O61" s="1"/>
      <c r="P61" s="1">
        <v>2015</v>
      </c>
      <c r="Q61" s="136">
        <v>0.95386000000000004</v>
      </c>
      <c r="R61" s="136">
        <v>0.91244000000000003</v>
      </c>
      <c r="S61" s="136">
        <v>0.87538000000000016</v>
      </c>
      <c r="T61" s="136">
        <v>0.84232000000000007</v>
      </c>
      <c r="U61" s="136">
        <v>0.81289999999999996</v>
      </c>
      <c r="V61" s="136">
        <v>0.7867599999999999</v>
      </c>
      <c r="W61" s="136">
        <v>0.76354</v>
      </c>
      <c r="X61" s="136">
        <v>0.74287999999999998</v>
      </c>
      <c r="Y61" s="136">
        <v>0.72441999999999995</v>
      </c>
      <c r="Z61" s="136">
        <v>0.7078000000000001</v>
      </c>
      <c r="AA61" s="136">
        <v>0.69266000000000016</v>
      </c>
      <c r="AB61" s="136">
        <v>0.67864000000000002</v>
      </c>
      <c r="AC61" s="136">
        <v>0.66538000000000019</v>
      </c>
      <c r="AD61" s="136">
        <v>0.65251999999999988</v>
      </c>
      <c r="AE61" s="136">
        <v>0.63970000000000005</v>
      </c>
      <c r="AF61" s="136"/>
      <c r="AG61" s="136"/>
      <c r="AH61" s="136"/>
      <c r="AI61" s="136"/>
      <c r="AJ61" s="136"/>
      <c r="AK61" s="136"/>
      <c r="AL61" s="136"/>
      <c r="AM61" s="136"/>
    </row>
    <row r="62" spans="1:39" ht="18.75" hidden="1" customHeight="1">
      <c r="A62" s="2"/>
      <c r="B62" s="1" t="s">
        <v>199</v>
      </c>
      <c r="C62" s="4">
        <f t="shared" ref="C62:M62" si="54">C$45+NPV($J$2,C46:C52)</f>
        <v>35521.423340648304</v>
      </c>
      <c r="D62" s="4">
        <f t="shared" si="54"/>
        <v>35521.423340648304</v>
      </c>
      <c r="E62" s="4">
        <f t="shared" si="54"/>
        <v>105153.70610868381</v>
      </c>
      <c r="F62" s="4">
        <f t="shared" si="54"/>
        <v>25942.612552158876</v>
      </c>
      <c r="G62" s="4">
        <f t="shared" si="54"/>
        <v>25942.612552158876</v>
      </c>
      <c r="H62" s="4">
        <f t="shared" si="54"/>
        <v>134914.18896963209</v>
      </c>
      <c r="I62" s="4">
        <f t="shared" si="54"/>
        <v>31330.693620684182</v>
      </c>
      <c r="J62" s="4">
        <f t="shared" si="54"/>
        <v>31330.693620684182</v>
      </c>
      <c r="K62" s="4">
        <f t="shared" si="54"/>
        <v>124994.02801598265</v>
      </c>
      <c r="L62" s="4">
        <f t="shared" ref="L62" si="55">L$45+NPV($J$2,L46:L52)</f>
        <v>27776.450670218364</v>
      </c>
      <c r="M62" s="4">
        <f t="shared" si="54"/>
        <v>117057.89925306311</v>
      </c>
      <c r="N62" s="1"/>
      <c r="O62" s="1"/>
      <c r="P62" s="1">
        <v>2014</v>
      </c>
      <c r="Q62" s="136">
        <v>0.95857999999999999</v>
      </c>
      <c r="R62" s="136">
        <v>0.92152000000000012</v>
      </c>
      <c r="S62" s="136">
        <v>0.88846000000000003</v>
      </c>
      <c r="T62" s="136">
        <v>0.85903999999999991</v>
      </c>
      <c r="U62" s="136">
        <v>0.83289999999999986</v>
      </c>
      <c r="V62" s="136">
        <v>0.80967999999999996</v>
      </c>
      <c r="W62" s="136">
        <v>0.78901999999999994</v>
      </c>
      <c r="X62" s="136">
        <v>0.77055999999999991</v>
      </c>
      <c r="Y62" s="136">
        <v>0.75394000000000005</v>
      </c>
      <c r="Z62" s="136">
        <v>0.73880000000000012</v>
      </c>
      <c r="AA62" s="136">
        <v>0.72477999999999998</v>
      </c>
      <c r="AB62" s="136">
        <v>0.71152000000000015</v>
      </c>
      <c r="AC62" s="136">
        <v>0.69865999999999984</v>
      </c>
      <c r="AD62" s="136">
        <v>0.68584000000000001</v>
      </c>
      <c r="AE62" s="136"/>
      <c r="AF62" s="136"/>
      <c r="AG62" s="136"/>
      <c r="AH62" s="136"/>
      <c r="AI62" s="136"/>
      <c r="AJ62" s="136"/>
      <c r="AK62" s="136"/>
      <c r="AL62" s="136"/>
      <c r="AM62" s="136"/>
    </row>
    <row r="63" spans="1:39" ht="18.75" hidden="1" customHeight="1">
      <c r="A63" s="2"/>
      <c r="B63" s="1" t="s">
        <v>200</v>
      </c>
      <c r="C63" s="4">
        <f t="shared" ref="C63:M63" si="56">C$45+NPV($J$2,C46:C53)</f>
        <v>39228.214750623367</v>
      </c>
      <c r="D63" s="4">
        <f t="shared" si="56"/>
        <v>39228.214750623367</v>
      </c>
      <c r="E63" s="4">
        <f t="shared" si="56"/>
        <v>116126.88279681135</v>
      </c>
      <c r="F63" s="4">
        <f t="shared" si="56"/>
        <v>28649.819761691226</v>
      </c>
      <c r="G63" s="4">
        <f t="shared" si="56"/>
        <v>28649.819761691226</v>
      </c>
      <c r="H63" s="4">
        <f t="shared" si="56"/>
        <v>148992.98170156931</v>
      </c>
      <c r="I63" s="4">
        <f t="shared" si="56"/>
        <v>34600.166942965559</v>
      </c>
      <c r="J63" s="4">
        <f t="shared" si="56"/>
        <v>34600.166942965559</v>
      </c>
      <c r="K63" s="4">
        <f t="shared" si="56"/>
        <v>138037.6153999833</v>
      </c>
      <c r="L63" s="4">
        <f t="shared" ref="L63" si="57">L$45+NPV($J$2,L46:L53)</f>
        <v>30675.025644440735</v>
      </c>
      <c r="M63" s="4">
        <f t="shared" si="56"/>
        <v>129273.32235871453</v>
      </c>
      <c r="N63" s="1"/>
      <c r="O63" s="1"/>
      <c r="P63" s="1">
        <v>2013</v>
      </c>
      <c r="Q63" s="136">
        <v>0.96294000000000013</v>
      </c>
      <c r="R63" s="136">
        <v>0.92988000000000004</v>
      </c>
      <c r="S63" s="136">
        <v>0.90045999999999993</v>
      </c>
      <c r="T63" s="136">
        <v>0.87431999999999988</v>
      </c>
      <c r="U63" s="136">
        <v>0.85109999999999997</v>
      </c>
      <c r="V63" s="136">
        <v>0.83043999999999996</v>
      </c>
      <c r="W63" s="136">
        <v>0.81197999999999992</v>
      </c>
      <c r="X63" s="136">
        <v>0.79536000000000007</v>
      </c>
      <c r="Y63" s="136">
        <v>0.78022000000000014</v>
      </c>
      <c r="Z63" s="136">
        <v>0.76619999999999999</v>
      </c>
      <c r="AA63" s="136">
        <v>0.75294000000000016</v>
      </c>
      <c r="AB63" s="136">
        <v>0.74007999999999985</v>
      </c>
      <c r="AC63" s="136">
        <v>0.72726000000000002</v>
      </c>
      <c r="AD63" s="136"/>
      <c r="AE63" s="136"/>
      <c r="AF63" s="136"/>
      <c r="AG63" s="136"/>
      <c r="AH63" s="136"/>
      <c r="AI63" s="136"/>
      <c r="AJ63" s="136"/>
      <c r="AK63" s="136"/>
      <c r="AL63" s="136"/>
      <c r="AM63" s="136"/>
    </row>
    <row r="64" spans="1:39" ht="18.75" hidden="1" customHeight="1">
      <c r="A64" s="2"/>
      <c r="B64" s="12" t="s">
        <v>201</v>
      </c>
      <c r="C64" s="43">
        <f t="shared" ref="C64:M64" si="58">C$45+NPV($J$2,C46:C54)</f>
        <v>42792.437260214778</v>
      </c>
      <c r="D64" s="43">
        <f t="shared" si="58"/>
        <v>42792.437260214778</v>
      </c>
      <c r="E64" s="43">
        <f t="shared" si="58"/>
        <v>126678.01422770321</v>
      </c>
      <c r="F64" s="43">
        <f t="shared" si="58"/>
        <v>31252.903617010794</v>
      </c>
      <c r="G64" s="43">
        <f t="shared" si="58"/>
        <v>31252.903617010794</v>
      </c>
      <c r="H64" s="43">
        <f t="shared" si="58"/>
        <v>162530.28240535513</v>
      </c>
      <c r="I64" s="43">
        <f t="shared" si="58"/>
        <v>37743.891291313033</v>
      </c>
      <c r="J64" s="43">
        <f t="shared" si="58"/>
        <v>37743.891291313033</v>
      </c>
      <c r="K64" s="43">
        <f t="shared" si="58"/>
        <v>150579.52634613778</v>
      </c>
      <c r="L64" s="43">
        <f t="shared" ref="L64" si="59">L$45+NPV($J$2,L46:L54)</f>
        <v>33462.116965808396</v>
      </c>
      <c r="M64" s="43">
        <f t="shared" si="58"/>
        <v>141018.92149876396</v>
      </c>
      <c r="N64" s="1"/>
      <c r="O64" s="1"/>
      <c r="P64" s="1">
        <v>2012</v>
      </c>
      <c r="Q64" s="136">
        <v>0.96693999999999991</v>
      </c>
      <c r="R64" s="136">
        <v>0.9375199999999998</v>
      </c>
      <c r="S64" s="136">
        <v>0.91137999999999975</v>
      </c>
      <c r="T64" s="136">
        <v>0.88815999999999984</v>
      </c>
      <c r="U64" s="136">
        <v>0.86749999999999983</v>
      </c>
      <c r="V64" s="136">
        <v>0.84903999999999979</v>
      </c>
      <c r="W64" s="136">
        <v>0.83241999999999994</v>
      </c>
      <c r="X64" s="136">
        <v>0.81728000000000001</v>
      </c>
      <c r="Y64" s="136">
        <v>0.80325999999999986</v>
      </c>
      <c r="Z64" s="136">
        <v>0.79</v>
      </c>
      <c r="AA64" s="136">
        <v>0.77713999999999972</v>
      </c>
      <c r="AB64" s="136">
        <v>0.76431999999999989</v>
      </c>
      <c r="AC64" s="136"/>
      <c r="AD64" s="136"/>
      <c r="AE64" s="136"/>
      <c r="AF64" s="136"/>
      <c r="AG64" s="136"/>
      <c r="AH64" s="136"/>
      <c r="AI64" s="136"/>
      <c r="AJ64" s="136"/>
      <c r="AK64" s="136"/>
      <c r="AL64" s="136"/>
      <c r="AM64" s="136"/>
    </row>
    <row r="65" spans="1:39" ht="18.75" hidden="1" customHeight="1">
      <c r="A65" s="2"/>
      <c r="B65" s="1" t="s">
        <v>202</v>
      </c>
      <c r="C65" s="1">
        <v>0</v>
      </c>
      <c r="D65" s="1">
        <v>0</v>
      </c>
      <c r="E65" s="1">
        <v>0</v>
      </c>
      <c r="F65" s="1">
        <v>0</v>
      </c>
      <c r="G65" s="1">
        <v>0</v>
      </c>
      <c r="H65" s="1">
        <v>0</v>
      </c>
      <c r="I65" s="1">
        <v>0</v>
      </c>
      <c r="J65" s="1">
        <v>0</v>
      </c>
      <c r="K65" s="1">
        <v>0</v>
      </c>
      <c r="L65" s="1">
        <v>0</v>
      </c>
      <c r="M65" s="1">
        <v>0</v>
      </c>
      <c r="N65" s="1"/>
      <c r="O65" s="1"/>
      <c r="P65" s="1">
        <v>2011</v>
      </c>
      <c r="Q65" s="136">
        <v>0.97057999999999989</v>
      </c>
      <c r="R65" s="136">
        <v>0.94443999999999984</v>
      </c>
      <c r="S65" s="136">
        <v>0.92121999999999993</v>
      </c>
      <c r="T65" s="136">
        <v>0.90055999999999992</v>
      </c>
      <c r="U65" s="136">
        <v>0.88209999999999988</v>
      </c>
      <c r="V65" s="136">
        <v>0.86548000000000003</v>
      </c>
      <c r="W65" s="136">
        <v>0.8503400000000001</v>
      </c>
      <c r="X65" s="136">
        <v>0.83631999999999995</v>
      </c>
      <c r="Y65" s="136">
        <v>0.82306000000000012</v>
      </c>
      <c r="Z65" s="136">
        <v>0.81019999999999981</v>
      </c>
      <c r="AA65" s="136">
        <v>0.79737999999999998</v>
      </c>
      <c r="AB65" s="136"/>
      <c r="AC65" s="136"/>
      <c r="AD65" s="136"/>
      <c r="AE65" s="136"/>
      <c r="AF65" s="136"/>
      <c r="AG65" s="136"/>
      <c r="AH65" s="136"/>
      <c r="AI65" s="136"/>
      <c r="AJ65" s="136"/>
      <c r="AK65" s="136"/>
      <c r="AL65" s="136"/>
      <c r="AM65" s="136"/>
    </row>
    <row r="66" spans="1:39" ht="18.75" hidden="1" customHeight="1">
      <c r="A66" s="2"/>
      <c r="B66" s="1" t="s">
        <v>203</v>
      </c>
      <c r="C66" s="1">
        <v>0</v>
      </c>
      <c r="D66" s="1">
        <v>0</v>
      </c>
      <c r="E66" s="1">
        <v>0</v>
      </c>
      <c r="F66" s="1">
        <v>0</v>
      </c>
      <c r="G66" s="1">
        <v>0</v>
      </c>
      <c r="H66" s="1">
        <v>0</v>
      </c>
      <c r="I66" s="1">
        <v>0</v>
      </c>
      <c r="J66" s="1">
        <v>0</v>
      </c>
      <c r="K66" s="1">
        <v>0</v>
      </c>
      <c r="L66" s="1">
        <v>0</v>
      </c>
      <c r="M66" s="1">
        <v>0</v>
      </c>
      <c r="N66" s="1"/>
      <c r="O66" s="1"/>
      <c r="P66" s="1">
        <v>2010</v>
      </c>
      <c r="Q66" s="136">
        <v>0.97385999999999995</v>
      </c>
      <c r="R66" s="136">
        <v>0.95064000000000004</v>
      </c>
      <c r="S66" s="136">
        <v>0.92998000000000003</v>
      </c>
      <c r="T66" s="136">
        <v>0.91152</v>
      </c>
      <c r="U66" s="136">
        <v>0.89490000000000014</v>
      </c>
      <c r="V66" s="136">
        <v>0.87976000000000021</v>
      </c>
      <c r="W66" s="136">
        <v>0.86574000000000007</v>
      </c>
      <c r="X66" s="136">
        <v>0.85248000000000024</v>
      </c>
      <c r="Y66" s="136">
        <v>0.83961999999999992</v>
      </c>
      <c r="Z66" s="136">
        <v>0.82680000000000009</v>
      </c>
      <c r="AA66" s="136"/>
      <c r="AB66" s="136"/>
      <c r="AC66" s="136"/>
      <c r="AD66" s="136"/>
      <c r="AE66" s="136"/>
      <c r="AF66" s="136"/>
      <c r="AG66" s="136"/>
      <c r="AH66" s="136"/>
      <c r="AI66" s="136"/>
      <c r="AJ66" s="136"/>
      <c r="AK66" s="136"/>
      <c r="AL66" s="136"/>
      <c r="AM66" s="136"/>
    </row>
    <row r="67" spans="1:39" ht="18.75" hidden="1" customHeight="1">
      <c r="A67" s="2"/>
      <c r="B67" s="1" t="s">
        <v>204</v>
      </c>
      <c r="C67" s="1">
        <v>0</v>
      </c>
      <c r="D67" s="1">
        <v>0</v>
      </c>
      <c r="E67" s="1">
        <v>0</v>
      </c>
      <c r="F67" s="1">
        <v>0</v>
      </c>
      <c r="G67" s="1">
        <v>0</v>
      </c>
      <c r="H67" s="1">
        <v>0</v>
      </c>
      <c r="I67" s="1">
        <v>0</v>
      </c>
      <c r="J67" s="1">
        <v>0</v>
      </c>
      <c r="K67" s="1">
        <v>0</v>
      </c>
      <c r="L67" s="1">
        <v>0</v>
      </c>
      <c r="M67" s="1">
        <v>0</v>
      </c>
      <c r="N67" s="1"/>
      <c r="O67" s="1"/>
      <c r="P67" s="1">
        <v>2009</v>
      </c>
      <c r="Q67" s="136">
        <v>0.97678000000000009</v>
      </c>
      <c r="R67" s="136">
        <v>0.95612000000000008</v>
      </c>
      <c r="S67" s="136">
        <v>0.93766000000000005</v>
      </c>
      <c r="T67" s="136">
        <v>0.92104000000000019</v>
      </c>
      <c r="U67" s="136">
        <v>0.90590000000000026</v>
      </c>
      <c r="V67" s="136">
        <v>0.89188000000000012</v>
      </c>
      <c r="W67" s="136">
        <v>0.87862000000000029</v>
      </c>
      <c r="X67" s="136">
        <v>0.86575999999999997</v>
      </c>
      <c r="Y67" s="136">
        <v>0.85294000000000014</v>
      </c>
      <c r="Z67" s="136"/>
      <c r="AA67" s="136"/>
      <c r="AB67" s="136"/>
      <c r="AC67" s="136"/>
      <c r="AD67" s="136"/>
      <c r="AE67" s="136"/>
      <c r="AF67" s="136"/>
      <c r="AG67" s="136"/>
      <c r="AH67" s="136"/>
      <c r="AI67" s="136"/>
      <c r="AJ67" s="136"/>
      <c r="AK67" s="136"/>
      <c r="AL67" s="136"/>
      <c r="AM67" s="136"/>
    </row>
    <row r="68" spans="1:39" ht="18.75" hidden="1" customHeight="1">
      <c r="A68" s="2"/>
      <c r="B68" s="1" t="s">
        <v>205</v>
      </c>
      <c r="C68" s="3">
        <f t="shared" ref="C68:M68" si="60">360+IF(C$15&lt;$P$19,0,(C$15-$P$19)*$Q$19*IF(OR(C$14=$E$7,C$14=$E$8),0.5,1))+IF(ISNUMBER(SEARCH($E$5,C$14)),$Y$3+C$15*$Y$4,0)</f>
        <v>360</v>
      </c>
      <c r="D68" s="3">
        <f t="shared" si="60"/>
        <v>360</v>
      </c>
      <c r="E68" s="3">
        <f t="shared" si="60"/>
        <v>580</v>
      </c>
      <c r="F68" s="3">
        <f t="shared" si="60"/>
        <v>360</v>
      </c>
      <c r="G68" s="3">
        <f t="shared" si="60"/>
        <v>360</v>
      </c>
      <c r="H68" s="3">
        <f t="shared" si="60"/>
        <v>1680</v>
      </c>
      <c r="I68" s="3">
        <f t="shared" si="60"/>
        <v>360</v>
      </c>
      <c r="J68" s="3">
        <f t="shared" si="60"/>
        <v>360</v>
      </c>
      <c r="K68" s="3">
        <f t="shared" si="60"/>
        <v>1042</v>
      </c>
      <c r="L68" s="3">
        <f t="shared" si="60"/>
        <v>360</v>
      </c>
      <c r="M68" s="3">
        <f t="shared" si="60"/>
        <v>866</v>
      </c>
      <c r="N68" s="1"/>
      <c r="O68" s="1"/>
      <c r="P68" s="1">
        <v>2008</v>
      </c>
      <c r="Q68" s="136">
        <v>0.97933999999999999</v>
      </c>
      <c r="R68" s="136">
        <v>0.96087999999999996</v>
      </c>
      <c r="S68" s="136">
        <v>0.9442600000000001</v>
      </c>
      <c r="T68" s="136">
        <v>0.92912000000000017</v>
      </c>
      <c r="U68" s="136">
        <v>0.91510000000000002</v>
      </c>
      <c r="V68" s="136">
        <v>0.9018400000000002</v>
      </c>
      <c r="W68" s="136">
        <v>0.88897999999999988</v>
      </c>
      <c r="X68" s="136">
        <v>0.87616000000000005</v>
      </c>
      <c r="Y68" s="136"/>
      <c r="Z68" s="136"/>
      <c r="AA68" s="136"/>
      <c r="AB68" s="136"/>
      <c r="AC68" s="136"/>
      <c r="AD68" s="136"/>
      <c r="AE68" s="136"/>
      <c r="AF68" s="136"/>
      <c r="AG68" s="136"/>
      <c r="AH68" s="136"/>
      <c r="AI68" s="136"/>
      <c r="AJ68" s="136"/>
      <c r="AK68" s="136"/>
      <c r="AL68" s="136"/>
      <c r="AM68" s="136"/>
    </row>
    <row r="69" spans="1:39" ht="18.75" hidden="1" customHeight="1">
      <c r="A69" s="2"/>
      <c r="B69" s="1" t="s">
        <v>206</v>
      </c>
      <c r="C69" s="1">
        <f t="shared" ref="C69:M74" si="61">C$68</f>
        <v>360</v>
      </c>
      <c r="D69" s="1">
        <f t="shared" si="61"/>
        <v>360</v>
      </c>
      <c r="E69" s="1">
        <f t="shared" si="61"/>
        <v>580</v>
      </c>
      <c r="F69" s="1">
        <f t="shared" si="61"/>
        <v>360</v>
      </c>
      <c r="G69" s="1">
        <f t="shared" si="61"/>
        <v>360</v>
      </c>
      <c r="H69" s="1">
        <f t="shared" si="61"/>
        <v>1680</v>
      </c>
      <c r="I69" s="1">
        <f t="shared" si="61"/>
        <v>360</v>
      </c>
      <c r="J69" s="1">
        <f t="shared" si="61"/>
        <v>360</v>
      </c>
      <c r="K69" s="1">
        <f t="shared" si="61"/>
        <v>1042</v>
      </c>
      <c r="L69" s="1">
        <f t="shared" si="61"/>
        <v>360</v>
      </c>
      <c r="M69" s="1">
        <f t="shared" si="61"/>
        <v>866</v>
      </c>
      <c r="N69" s="1"/>
      <c r="O69" s="1"/>
      <c r="P69" s="1">
        <v>2007</v>
      </c>
      <c r="Q69" s="136">
        <v>0.98153999999999997</v>
      </c>
      <c r="R69" s="136">
        <v>0.96492000000000011</v>
      </c>
      <c r="S69" s="136">
        <v>0.94978000000000018</v>
      </c>
      <c r="T69" s="136">
        <v>0.93576000000000004</v>
      </c>
      <c r="U69" s="136">
        <v>0.92250000000000021</v>
      </c>
      <c r="V69" s="136">
        <v>0.90963999999999989</v>
      </c>
      <c r="W69" s="136">
        <v>0.89682000000000006</v>
      </c>
      <c r="X69" s="136"/>
      <c r="Y69" s="136"/>
      <c r="Z69" s="136"/>
      <c r="AA69" s="136"/>
      <c r="AB69" s="136"/>
      <c r="AC69" s="136"/>
      <c r="AD69" s="136"/>
      <c r="AE69" s="136"/>
      <c r="AF69" s="136"/>
      <c r="AG69" s="136"/>
      <c r="AH69" s="136"/>
      <c r="AI69" s="136"/>
      <c r="AJ69" s="136"/>
      <c r="AK69" s="136"/>
      <c r="AL69" s="136"/>
      <c r="AM69" s="136"/>
    </row>
    <row r="70" spans="1:39" ht="18.75" hidden="1" customHeight="1">
      <c r="A70" s="2"/>
      <c r="B70" s="1" t="s">
        <v>207</v>
      </c>
      <c r="C70" s="1">
        <f t="shared" si="61"/>
        <v>360</v>
      </c>
      <c r="D70" s="1">
        <f t="shared" si="61"/>
        <v>360</v>
      </c>
      <c r="E70" s="1">
        <f t="shared" si="61"/>
        <v>580</v>
      </c>
      <c r="F70" s="1">
        <f t="shared" si="61"/>
        <v>360</v>
      </c>
      <c r="G70" s="1">
        <f t="shared" si="61"/>
        <v>360</v>
      </c>
      <c r="H70" s="1">
        <f t="shared" si="61"/>
        <v>1680</v>
      </c>
      <c r="I70" s="1">
        <f t="shared" si="61"/>
        <v>360</v>
      </c>
      <c r="J70" s="1">
        <f t="shared" si="61"/>
        <v>360</v>
      </c>
      <c r="K70" s="1">
        <f t="shared" si="61"/>
        <v>1042</v>
      </c>
      <c r="L70" s="1">
        <f t="shared" si="61"/>
        <v>360</v>
      </c>
      <c r="M70" s="1">
        <f t="shared" si="61"/>
        <v>866</v>
      </c>
      <c r="N70" s="1"/>
      <c r="O70" s="1"/>
      <c r="P70" s="1">
        <v>2006</v>
      </c>
      <c r="Q70" s="136">
        <v>0.98338000000000014</v>
      </c>
      <c r="R70" s="136">
        <v>0.96824000000000021</v>
      </c>
      <c r="S70" s="136">
        <v>0.95422000000000007</v>
      </c>
      <c r="T70" s="136">
        <v>0.94096000000000024</v>
      </c>
      <c r="U70" s="136">
        <v>0.92809999999999993</v>
      </c>
      <c r="V70" s="136">
        <v>0.91528000000000009</v>
      </c>
      <c r="W70" s="136"/>
      <c r="X70" s="136"/>
      <c r="Y70" s="136"/>
      <c r="Z70" s="136"/>
      <c r="AA70" s="136"/>
      <c r="AB70" s="136"/>
      <c r="AC70" s="136"/>
      <c r="AD70" s="136"/>
      <c r="AE70" s="136"/>
      <c r="AF70" s="136"/>
      <c r="AG70" s="136"/>
      <c r="AH70" s="136"/>
      <c r="AI70" s="136"/>
      <c r="AJ70" s="136"/>
      <c r="AK70" s="136"/>
      <c r="AL70" s="136"/>
      <c r="AM70" s="136"/>
    </row>
    <row r="71" spans="1:39" ht="18.75" hidden="1" customHeight="1">
      <c r="A71" s="2"/>
      <c r="B71" s="1" t="s">
        <v>208</v>
      </c>
      <c r="C71" s="1">
        <f t="shared" si="61"/>
        <v>360</v>
      </c>
      <c r="D71" s="1">
        <f t="shared" si="61"/>
        <v>360</v>
      </c>
      <c r="E71" s="1">
        <f t="shared" si="61"/>
        <v>580</v>
      </c>
      <c r="F71" s="1">
        <f t="shared" si="61"/>
        <v>360</v>
      </c>
      <c r="G71" s="1">
        <f t="shared" si="61"/>
        <v>360</v>
      </c>
      <c r="H71" s="1">
        <f t="shared" si="61"/>
        <v>1680</v>
      </c>
      <c r="I71" s="1">
        <f t="shared" si="61"/>
        <v>360</v>
      </c>
      <c r="J71" s="1">
        <f t="shared" si="61"/>
        <v>360</v>
      </c>
      <c r="K71" s="1">
        <f t="shared" si="61"/>
        <v>1042</v>
      </c>
      <c r="L71" s="1">
        <f t="shared" si="61"/>
        <v>360</v>
      </c>
      <c r="M71" s="1">
        <f t="shared" si="61"/>
        <v>866</v>
      </c>
      <c r="N71" s="1"/>
      <c r="O71" s="1"/>
      <c r="P71" s="1">
        <v>2005</v>
      </c>
      <c r="Q71" s="136">
        <v>0.98486000000000007</v>
      </c>
      <c r="R71" s="136">
        <v>0.97083999999999993</v>
      </c>
      <c r="S71" s="136">
        <v>0.9575800000000001</v>
      </c>
      <c r="T71" s="136">
        <v>0.94471999999999978</v>
      </c>
      <c r="U71" s="136">
        <v>0.93189999999999995</v>
      </c>
      <c r="V71" s="136"/>
      <c r="W71" s="136"/>
      <c r="X71" s="136"/>
      <c r="Y71" s="136"/>
      <c r="Z71" s="136"/>
      <c r="AA71" s="136"/>
      <c r="AB71" s="136"/>
      <c r="AC71" s="136"/>
      <c r="AD71" s="136"/>
      <c r="AE71" s="136"/>
      <c r="AF71" s="136"/>
      <c r="AG71" s="136"/>
      <c r="AH71" s="136"/>
      <c r="AI71" s="136"/>
      <c r="AJ71" s="136"/>
      <c r="AK71" s="136"/>
      <c r="AL71" s="136"/>
      <c r="AM71" s="136"/>
    </row>
    <row r="72" spans="1:39" ht="18.75" hidden="1" customHeight="1">
      <c r="A72" s="2"/>
      <c r="B72" s="1" t="s">
        <v>209</v>
      </c>
      <c r="C72" s="1">
        <f t="shared" si="61"/>
        <v>360</v>
      </c>
      <c r="D72" s="1">
        <f t="shared" si="61"/>
        <v>360</v>
      </c>
      <c r="E72" s="1">
        <f t="shared" si="61"/>
        <v>580</v>
      </c>
      <c r="F72" s="1">
        <f t="shared" si="61"/>
        <v>360</v>
      </c>
      <c r="G72" s="1">
        <f t="shared" si="61"/>
        <v>360</v>
      </c>
      <c r="H72" s="1">
        <f t="shared" si="61"/>
        <v>1680</v>
      </c>
      <c r="I72" s="1">
        <f t="shared" si="61"/>
        <v>360</v>
      </c>
      <c r="J72" s="1">
        <f t="shared" si="61"/>
        <v>360</v>
      </c>
      <c r="K72" s="1">
        <f t="shared" si="61"/>
        <v>1042</v>
      </c>
      <c r="L72" s="1">
        <f t="shared" si="61"/>
        <v>360</v>
      </c>
      <c r="M72" s="1">
        <f t="shared" si="61"/>
        <v>866</v>
      </c>
      <c r="N72" s="1"/>
      <c r="O72" s="1"/>
      <c r="P72" s="1">
        <v>2004</v>
      </c>
      <c r="Q72" s="136">
        <v>0.98597999999999986</v>
      </c>
      <c r="R72" s="136">
        <v>0.97272000000000003</v>
      </c>
      <c r="S72" s="136">
        <v>0.95985999999999971</v>
      </c>
      <c r="T72" s="136">
        <v>0.94703999999999988</v>
      </c>
      <c r="U72" s="136"/>
      <c r="V72" s="136"/>
      <c r="W72" s="136"/>
      <c r="X72" s="136"/>
      <c r="Y72" s="136"/>
      <c r="Z72" s="136"/>
      <c r="AA72" s="136"/>
      <c r="AB72" s="136"/>
      <c r="AC72" s="136"/>
      <c r="AD72" s="136"/>
      <c r="AE72" s="136"/>
      <c r="AF72" s="136"/>
      <c r="AG72" s="136"/>
      <c r="AH72" s="136"/>
      <c r="AI72" s="136"/>
      <c r="AJ72" s="136"/>
      <c r="AK72" s="136"/>
      <c r="AL72" s="136"/>
      <c r="AM72" s="136"/>
    </row>
    <row r="73" spans="1:39" ht="18.75" hidden="1" customHeight="1">
      <c r="A73" s="2"/>
      <c r="B73" s="1" t="s">
        <v>210</v>
      </c>
      <c r="C73" s="1">
        <f t="shared" si="61"/>
        <v>360</v>
      </c>
      <c r="D73" s="1">
        <f t="shared" si="61"/>
        <v>360</v>
      </c>
      <c r="E73" s="1">
        <f t="shared" si="61"/>
        <v>580</v>
      </c>
      <c r="F73" s="1">
        <f t="shared" si="61"/>
        <v>360</v>
      </c>
      <c r="G73" s="1">
        <f t="shared" si="61"/>
        <v>360</v>
      </c>
      <c r="H73" s="1">
        <f t="shared" si="61"/>
        <v>1680</v>
      </c>
      <c r="I73" s="1">
        <f t="shared" si="61"/>
        <v>360</v>
      </c>
      <c r="J73" s="1">
        <f t="shared" si="61"/>
        <v>360</v>
      </c>
      <c r="K73" s="1">
        <f t="shared" si="61"/>
        <v>1042</v>
      </c>
      <c r="L73" s="1">
        <f t="shared" si="61"/>
        <v>360</v>
      </c>
      <c r="M73" s="1">
        <f t="shared" si="61"/>
        <v>866</v>
      </c>
      <c r="N73" s="1"/>
      <c r="O73" s="1"/>
      <c r="P73" s="1">
        <v>2003</v>
      </c>
      <c r="Q73" s="136">
        <v>0.98674000000000017</v>
      </c>
      <c r="R73" s="136">
        <v>0.97387999999999986</v>
      </c>
      <c r="S73" s="136">
        <v>0.96106000000000003</v>
      </c>
      <c r="T73" s="136"/>
      <c r="U73" s="136"/>
      <c r="V73" s="136"/>
      <c r="W73" s="136"/>
      <c r="X73" s="136"/>
      <c r="Y73" s="136"/>
      <c r="Z73" s="136"/>
      <c r="AA73" s="136"/>
      <c r="AB73" s="136"/>
      <c r="AC73" s="136"/>
      <c r="AD73" s="136"/>
      <c r="AE73" s="136"/>
      <c r="AF73" s="136"/>
      <c r="AG73" s="136"/>
      <c r="AH73" s="136"/>
      <c r="AI73" s="136"/>
      <c r="AJ73" s="136"/>
      <c r="AK73" s="136"/>
      <c r="AL73" s="136"/>
      <c r="AM73" s="136"/>
    </row>
    <row r="74" spans="1:39" ht="18.75" hidden="1" customHeight="1">
      <c r="A74" s="2"/>
      <c r="B74" s="12" t="s">
        <v>211</v>
      </c>
      <c r="C74" s="12">
        <f t="shared" si="61"/>
        <v>360</v>
      </c>
      <c r="D74" s="12">
        <f t="shared" si="61"/>
        <v>360</v>
      </c>
      <c r="E74" s="12">
        <f t="shared" si="61"/>
        <v>580</v>
      </c>
      <c r="F74" s="12">
        <f t="shared" si="61"/>
        <v>360</v>
      </c>
      <c r="G74" s="12">
        <f t="shared" si="61"/>
        <v>360</v>
      </c>
      <c r="H74" s="12">
        <f t="shared" si="61"/>
        <v>1680</v>
      </c>
      <c r="I74" s="12">
        <f t="shared" si="61"/>
        <v>360</v>
      </c>
      <c r="J74" s="12">
        <f t="shared" si="61"/>
        <v>360</v>
      </c>
      <c r="K74" s="12">
        <f t="shared" si="61"/>
        <v>1042</v>
      </c>
      <c r="L74" s="12">
        <f t="shared" si="61"/>
        <v>360</v>
      </c>
      <c r="M74" s="12">
        <f t="shared" si="61"/>
        <v>866</v>
      </c>
      <c r="N74" s="1"/>
      <c r="O74" s="1"/>
      <c r="P74" s="1">
        <v>2002</v>
      </c>
      <c r="Q74" s="136">
        <v>0.98713999999999968</v>
      </c>
      <c r="R74" s="136">
        <v>0.97431999999999985</v>
      </c>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ht="18.75" hidden="1" customHeight="1">
      <c r="A75" s="2"/>
      <c r="B75" s="1" t="s">
        <v>212</v>
      </c>
      <c r="C75" s="4">
        <v>0</v>
      </c>
      <c r="D75" s="4">
        <v>0</v>
      </c>
      <c r="E75" s="4">
        <v>0</v>
      </c>
      <c r="F75" s="4">
        <v>0</v>
      </c>
      <c r="G75" s="4">
        <v>0</v>
      </c>
      <c r="H75" s="4">
        <v>0</v>
      </c>
      <c r="I75" s="4">
        <v>0</v>
      </c>
      <c r="J75" s="4">
        <v>0</v>
      </c>
      <c r="K75" s="4">
        <v>0</v>
      </c>
      <c r="L75" s="4">
        <v>0</v>
      </c>
      <c r="M75" s="4">
        <v>0</v>
      </c>
      <c r="N75" s="1"/>
      <c r="O75" s="1"/>
      <c r="P75" s="1">
        <v>2001</v>
      </c>
      <c r="Q75" s="136">
        <v>0.98718000000000017</v>
      </c>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ht="18.75" hidden="1" customHeight="1">
      <c r="A76" s="2"/>
      <c r="B76" s="1" t="s">
        <v>213</v>
      </c>
      <c r="C76" s="4">
        <v>0</v>
      </c>
      <c r="D76" s="4">
        <v>0</v>
      </c>
      <c r="E76" s="4">
        <v>0</v>
      </c>
      <c r="F76" s="4">
        <v>0</v>
      </c>
      <c r="G76" s="4">
        <v>0</v>
      </c>
      <c r="H76" s="4">
        <v>0</v>
      </c>
      <c r="I76" s="4">
        <v>0</v>
      </c>
      <c r="J76" s="4">
        <v>0</v>
      </c>
      <c r="K76" s="4">
        <v>0</v>
      </c>
      <c r="L76" s="4">
        <v>0</v>
      </c>
      <c r="M76" s="4">
        <v>0</v>
      </c>
      <c r="N76" s="1"/>
      <c r="O76" s="1"/>
      <c r="P76" s="1"/>
      <c r="Q76" s="1"/>
      <c r="R76" s="1"/>
      <c r="S76" s="1"/>
      <c r="T76" s="1"/>
    </row>
    <row r="77" spans="1:39" ht="18.75" hidden="1" customHeight="1">
      <c r="A77" s="2"/>
      <c r="B77" s="1" t="s">
        <v>214</v>
      </c>
      <c r="C77" s="4">
        <v>0</v>
      </c>
      <c r="D77" s="4">
        <v>0</v>
      </c>
      <c r="E77" s="4">
        <v>0</v>
      </c>
      <c r="F77" s="4">
        <v>0</v>
      </c>
      <c r="G77" s="4">
        <v>0</v>
      </c>
      <c r="H77" s="4">
        <v>0</v>
      </c>
      <c r="I77" s="4">
        <v>0</v>
      </c>
      <c r="J77" s="4">
        <v>0</v>
      </c>
      <c r="K77" s="4">
        <v>0</v>
      </c>
      <c r="L77" s="4">
        <v>0</v>
      </c>
      <c r="M77" s="4">
        <v>0</v>
      </c>
      <c r="N77" s="1"/>
      <c r="O77" s="1"/>
      <c r="P77" s="1"/>
      <c r="Q77" s="1"/>
      <c r="R77" s="1"/>
      <c r="S77" s="1"/>
      <c r="T77" s="1"/>
    </row>
    <row r="78" spans="1:39" ht="18.75" hidden="1" customHeight="1">
      <c r="A78" s="2"/>
      <c r="B78" s="1" t="s">
        <v>215</v>
      </c>
      <c r="C78" s="4">
        <f t="shared" ref="C78:M78" si="62">C$68/(1+$J$2)^3</f>
        <v>320.03868912152933</v>
      </c>
      <c r="D78" s="4">
        <f t="shared" si="62"/>
        <v>320.03868912152933</v>
      </c>
      <c r="E78" s="4">
        <f t="shared" si="62"/>
        <v>515.61788802913054</v>
      </c>
      <c r="F78" s="4">
        <f t="shared" si="62"/>
        <v>320.03868912152933</v>
      </c>
      <c r="G78" s="4">
        <f t="shared" si="62"/>
        <v>320.03868912152933</v>
      </c>
      <c r="H78" s="4">
        <f t="shared" si="62"/>
        <v>1493.513882567137</v>
      </c>
      <c r="I78" s="4">
        <f t="shared" si="62"/>
        <v>320.03868912152933</v>
      </c>
      <c r="J78" s="4">
        <f t="shared" si="62"/>
        <v>320.03868912152933</v>
      </c>
      <c r="K78" s="4">
        <f t="shared" si="62"/>
        <v>926.33420573509329</v>
      </c>
      <c r="L78" s="4">
        <f t="shared" si="62"/>
        <v>320.03868912152933</v>
      </c>
      <c r="M78" s="4">
        <f t="shared" si="62"/>
        <v>769.87084660901223</v>
      </c>
      <c r="N78" s="1"/>
      <c r="O78" s="1"/>
      <c r="P78" s="1"/>
      <c r="Q78" s="136">
        <f>1-Q54</f>
        <v>0.22765999999999997</v>
      </c>
      <c r="R78" s="136">
        <f t="shared" ref="R78:AK91" si="63">1-R54</f>
        <v>0.30967999999999996</v>
      </c>
      <c r="S78" s="136">
        <f t="shared" si="63"/>
        <v>0.38482000000000005</v>
      </c>
      <c r="T78" s="136">
        <f t="shared" si="63"/>
        <v>0.45343999999999995</v>
      </c>
      <c r="U78" s="136">
        <f t="shared" si="63"/>
        <v>0.51589999999999991</v>
      </c>
      <c r="V78" s="136">
        <f t="shared" si="63"/>
        <v>0.57256000000000007</v>
      </c>
      <c r="W78" s="136">
        <f t="shared" si="63"/>
        <v>0.62378</v>
      </c>
      <c r="X78" s="136">
        <f t="shared" si="63"/>
        <v>0.66991999999999996</v>
      </c>
      <c r="Y78" s="136">
        <f t="shared" si="63"/>
        <v>0.71133999999999997</v>
      </c>
      <c r="Z78" s="136">
        <f t="shared" si="63"/>
        <v>0.74839999999999984</v>
      </c>
      <c r="AA78" s="136">
        <f t="shared" si="63"/>
        <v>0.78145999999999993</v>
      </c>
      <c r="AB78" s="136">
        <f t="shared" si="63"/>
        <v>0.81088000000000005</v>
      </c>
      <c r="AC78" s="136">
        <f t="shared" si="63"/>
        <v>0.8370200000000001</v>
      </c>
      <c r="AD78" s="136">
        <f t="shared" si="63"/>
        <v>0.86024</v>
      </c>
      <c r="AE78" s="136">
        <f t="shared" si="63"/>
        <v>0.88090000000000002</v>
      </c>
      <c r="AF78" s="136">
        <f t="shared" si="63"/>
        <v>0.89936000000000005</v>
      </c>
      <c r="AG78" s="136">
        <f t="shared" si="63"/>
        <v>0.91597999999999991</v>
      </c>
      <c r="AH78" s="136">
        <f t="shared" si="63"/>
        <v>0.93111999999999984</v>
      </c>
      <c r="AI78" s="136">
        <f t="shared" si="63"/>
        <v>0.94513999999999998</v>
      </c>
      <c r="AJ78" s="136">
        <f t="shared" si="63"/>
        <v>0.95839999999999981</v>
      </c>
      <c r="AK78" s="136">
        <f t="shared" si="63"/>
        <v>0.97126000000000012</v>
      </c>
      <c r="AL78" s="136">
        <f t="shared" ref="AL78" si="64">1-AL54</f>
        <v>0.98407999999999995</v>
      </c>
    </row>
    <row r="79" spans="1:39" ht="18.75" hidden="1" customHeight="1">
      <c r="A79" s="2"/>
      <c r="B79" s="1" t="s">
        <v>216</v>
      </c>
      <c r="C79" s="4">
        <f t="shared" ref="C79:M79" si="65">C78+C$68/(1+$J$2)^4</f>
        <v>627.76819789223055</v>
      </c>
      <c r="D79" s="4">
        <f t="shared" si="65"/>
        <v>627.76819789223055</v>
      </c>
      <c r="E79" s="4">
        <f t="shared" si="65"/>
        <v>1011.4043188263714</v>
      </c>
      <c r="F79" s="4">
        <f t="shared" si="65"/>
        <v>627.76819789223055</v>
      </c>
      <c r="G79" s="4">
        <f t="shared" si="65"/>
        <v>627.76819789223055</v>
      </c>
      <c r="H79" s="4">
        <f t="shared" si="65"/>
        <v>2929.5849234970765</v>
      </c>
      <c r="I79" s="4">
        <f t="shared" si="65"/>
        <v>627.76819789223055</v>
      </c>
      <c r="J79" s="4">
        <f t="shared" si="65"/>
        <v>627.76819789223055</v>
      </c>
      <c r="K79" s="4">
        <f t="shared" si="65"/>
        <v>1817.0401727880676</v>
      </c>
      <c r="L79" s="4">
        <f t="shared" ref="L79" si="66">L78+L$68/(1+$J$2)^4</f>
        <v>627.76819789223055</v>
      </c>
      <c r="M79" s="4">
        <f t="shared" si="65"/>
        <v>1510.1312760407545</v>
      </c>
      <c r="N79" s="1"/>
      <c r="O79" s="1"/>
      <c r="P79" s="1"/>
      <c r="Q79" s="136">
        <f t="shared" ref="Q79:AF97" si="67">1-Q55</f>
        <v>8.2019999999999982E-2</v>
      </c>
      <c r="R79" s="136">
        <f t="shared" si="67"/>
        <v>0.15716000000000008</v>
      </c>
      <c r="S79" s="136">
        <f t="shared" si="67"/>
        <v>0.22577999999999998</v>
      </c>
      <c r="T79" s="136">
        <f t="shared" si="67"/>
        <v>0.28823999999999994</v>
      </c>
      <c r="U79" s="136">
        <f t="shared" si="67"/>
        <v>0.3449000000000001</v>
      </c>
      <c r="V79" s="136">
        <f t="shared" si="67"/>
        <v>0.39612000000000003</v>
      </c>
      <c r="W79" s="136">
        <f t="shared" si="67"/>
        <v>0.44225999999999999</v>
      </c>
      <c r="X79" s="136">
        <f t="shared" si="67"/>
        <v>0.48368</v>
      </c>
      <c r="Y79" s="136">
        <f t="shared" si="67"/>
        <v>0.52073999999999987</v>
      </c>
      <c r="Z79" s="136">
        <f t="shared" si="67"/>
        <v>0.55379999999999996</v>
      </c>
      <c r="AA79" s="136">
        <f t="shared" si="67"/>
        <v>0.58322000000000007</v>
      </c>
      <c r="AB79" s="136">
        <f t="shared" si="67"/>
        <v>0.60936000000000012</v>
      </c>
      <c r="AC79" s="136">
        <f t="shared" si="67"/>
        <v>0.63258000000000003</v>
      </c>
      <c r="AD79" s="136">
        <f t="shared" si="67"/>
        <v>0.65324000000000004</v>
      </c>
      <c r="AE79" s="136">
        <f t="shared" si="67"/>
        <v>0.67170000000000007</v>
      </c>
      <c r="AF79" s="136">
        <f t="shared" si="67"/>
        <v>0.68831999999999993</v>
      </c>
      <c r="AG79" s="136">
        <f t="shared" si="63"/>
        <v>0.70345999999999986</v>
      </c>
      <c r="AH79" s="136">
        <f t="shared" si="63"/>
        <v>0.71748000000000001</v>
      </c>
      <c r="AI79" s="136">
        <f t="shared" si="63"/>
        <v>0.73073999999999983</v>
      </c>
      <c r="AJ79" s="136">
        <f t="shared" si="63"/>
        <v>0.74360000000000015</v>
      </c>
      <c r="AK79" s="136">
        <f t="shared" si="63"/>
        <v>0.75641999999999998</v>
      </c>
    </row>
    <row r="80" spans="1:39" ht="18.75" hidden="1" customHeight="1">
      <c r="A80" s="2"/>
      <c r="B80" s="1" t="s">
        <v>217</v>
      </c>
      <c r="C80" s="4">
        <f t="shared" ref="C80:M80" si="68">C79+C$68/(1+$J$2)^5</f>
        <v>923.66195632559709</v>
      </c>
      <c r="D80" s="4">
        <f t="shared" si="68"/>
        <v>923.66195632559709</v>
      </c>
      <c r="E80" s="4">
        <f t="shared" si="68"/>
        <v>1488.1220407467954</v>
      </c>
      <c r="F80" s="4">
        <f t="shared" si="68"/>
        <v>923.66195632559709</v>
      </c>
      <c r="G80" s="4">
        <f t="shared" si="68"/>
        <v>923.66195632559709</v>
      </c>
      <c r="H80" s="4">
        <f t="shared" si="68"/>
        <v>4310.4224628527872</v>
      </c>
      <c r="I80" s="4">
        <f t="shared" si="68"/>
        <v>923.66195632559709</v>
      </c>
      <c r="J80" s="4">
        <f t="shared" si="68"/>
        <v>923.66195632559709</v>
      </c>
      <c r="K80" s="4">
        <f t="shared" si="68"/>
        <v>2673.488218031312</v>
      </c>
      <c r="L80" s="4">
        <f t="shared" ref="L80" si="69">L79+L$68/(1+$J$2)^5</f>
        <v>923.66195632559709</v>
      </c>
      <c r="M80" s="4">
        <f t="shared" si="68"/>
        <v>2221.920150494353</v>
      </c>
      <c r="N80" s="1"/>
      <c r="O80" s="1"/>
      <c r="P80" s="1"/>
      <c r="Q80" s="136">
        <f t="shared" si="67"/>
        <v>7.5140000000000096E-2</v>
      </c>
      <c r="R80" s="136">
        <f t="shared" si="63"/>
        <v>0.14376</v>
      </c>
      <c r="S80" s="136">
        <f t="shared" si="63"/>
        <v>0.20621999999999996</v>
      </c>
      <c r="T80" s="136">
        <f t="shared" si="63"/>
        <v>0.26288000000000011</v>
      </c>
      <c r="U80" s="136">
        <f t="shared" si="63"/>
        <v>0.31410000000000005</v>
      </c>
      <c r="V80" s="136">
        <f t="shared" si="63"/>
        <v>0.36024</v>
      </c>
      <c r="W80" s="136">
        <f t="shared" si="63"/>
        <v>0.40166000000000002</v>
      </c>
      <c r="X80" s="136">
        <f t="shared" si="63"/>
        <v>0.43871999999999989</v>
      </c>
      <c r="Y80" s="136">
        <f t="shared" si="63"/>
        <v>0.47177999999999998</v>
      </c>
      <c r="Z80" s="136">
        <f t="shared" si="63"/>
        <v>0.50120000000000009</v>
      </c>
      <c r="AA80" s="136">
        <f t="shared" si="63"/>
        <v>0.52734000000000014</v>
      </c>
      <c r="AB80" s="136">
        <f t="shared" si="63"/>
        <v>0.55056000000000005</v>
      </c>
      <c r="AC80" s="136">
        <f t="shared" si="63"/>
        <v>0.57122000000000006</v>
      </c>
      <c r="AD80" s="136">
        <f t="shared" si="63"/>
        <v>0.58968000000000009</v>
      </c>
      <c r="AE80" s="136">
        <f t="shared" si="63"/>
        <v>0.60629999999999995</v>
      </c>
      <c r="AF80" s="136">
        <f t="shared" si="63"/>
        <v>0.62143999999999988</v>
      </c>
      <c r="AG80" s="136">
        <f t="shared" si="63"/>
        <v>0.63546000000000002</v>
      </c>
      <c r="AH80" s="136">
        <f t="shared" si="63"/>
        <v>0.64871999999999985</v>
      </c>
      <c r="AI80" s="136">
        <f t="shared" si="63"/>
        <v>0.66158000000000017</v>
      </c>
      <c r="AJ80" s="136">
        <f t="shared" si="63"/>
        <v>0.6744</v>
      </c>
      <c r="AK80" s="136"/>
    </row>
    <row r="81" spans="1:37" ht="18.75" hidden="1" customHeight="1">
      <c r="A81" s="2"/>
      <c r="B81" s="1" t="s">
        <v>218</v>
      </c>
      <c r="C81" s="4">
        <f t="shared" ref="C81:M81" si="70">C80+C$68/(1+$J$2)^6</f>
        <v>1208.1751855884495</v>
      </c>
      <c r="D81" s="4">
        <f t="shared" si="70"/>
        <v>1208.1751855884495</v>
      </c>
      <c r="E81" s="4">
        <f t="shared" si="70"/>
        <v>1946.5044656702798</v>
      </c>
      <c r="F81" s="4">
        <f t="shared" si="70"/>
        <v>1208.1751855884495</v>
      </c>
      <c r="G81" s="4">
        <f t="shared" si="70"/>
        <v>1208.1751855884495</v>
      </c>
      <c r="H81" s="4">
        <f t="shared" si="70"/>
        <v>5638.1508660794316</v>
      </c>
      <c r="I81" s="4">
        <f t="shared" si="70"/>
        <v>1208.1751855884495</v>
      </c>
      <c r="J81" s="4">
        <f t="shared" si="70"/>
        <v>1208.1751855884495</v>
      </c>
      <c r="K81" s="4">
        <f t="shared" si="70"/>
        <v>3496.995953842124</v>
      </c>
      <c r="L81" s="4">
        <f t="shared" ref="L81" si="71">L80+L$68/(1+$J$2)^6</f>
        <v>1208.1751855884495</v>
      </c>
      <c r="M81" s="4">
        <f t="shared" si="70"/>
        <v>2906.3325297766592</v>
      </c>
      <c r="N81" s="1"/>
      <c r="O81" s="1"/>
      <c r="P81" s="1"/>
      <c r="Q81" s="136">
        <f t="shared" si="67"/>
        <v>6.8619999999999903E-2</v>
      </c>
      <c r="R81" s="136">
        <f t="shared" si="63"/>
        <v>0.13107999999999986</v>
      </c>
      <c r="S81" s="136">
        <f t="shared" si="63"/>
        <v>0.18774000000000002</v>
      </c>
      <c r="T81" s="136">
        <f t="shared" si="63"/>
        <v>0.23895999999999995</v>
      </c>
      <c r="U81" s="136">
        <f t="shared" si="63"/>
        <v>0.28509999999999991</v>
      </c>
      <c r="V81" s="136">
        <f t="shared" si="63"/>
        <v>0.32651999999999992</v>
      </c>
      <c r="W81" s="136">
        <f t="shared" si="63"/>
        <v>0.36357999999999979</v>
      </c>
      <c r="X81" s="136">
        <f t="shared" si="63"/>
        <v>0.39663999999999988</v>
      </c>
      <c r="Y81" s="136">
        <f t="shared" si="63"/>
        <v>0.42605999999999999</v>
      </c>
      <c r="Z81" s="136">
        <f t="shared" si="63"/>
        <v>0.45220000000000005</v>
      </c>
      <c r="AA81" s="136">
        <f t="shared" si="63"/>
        <v>0.47541999999999995</v>
      </c>
      <c r="AB81" s="136">
        <f t="shared" si="63"/>
        <v>0.49607999999999997</v>
      </c>
      <c r="AC81" s="136">
        <f t="shared" si="63"/>
        <v>0.51454</v>
      </c>
      <c r="AD81" s="136">
        <f t="shared" si="63"/>
        <v>0.53115999999999985</v>
      </c>
      <c r="AE81" s="136">
        <f t="shared" si="63"/>
        <v>0.54629999999999979</v>
      </c>
      <c r="AF81" s="136">
        <f t="shared" si="63"/>
        <v>0.56031999999999993</v>
      </c>
      <c r="AG81" s="136">
        <f t="shared" si="63"/>
        <v>0.57357999999999976</v>
      </c>
      <c r="AH81" s="136">
        <f t="shared" si="63"/>
        <v>0.58644000000000007</v>
      </c>
      <c r="AI81" s="136"/>
      <c r="AJ81" s="136"/>
      <c r="AK81" s="136"/>
    </row>
    <row r="82" spans="1:37" ht="18.75" hidden="1" customHeight="1">
      <c r="A82" s="2"/>
      <c r="B82" s="1" t="s">
        <v>219</v>
      </c>
      <c r="C82" s="4">
        <f t="shared" ref="C82:M82" si="72">C81+C$68/(1+$J$2)^7</f>
        <v>1481.7455983411924</v>
      </c>
      <c r="D82" s="4">
        <f t="shared" si="72"/>
        <v>1481.7455983411924</v>
      </c>
      <c r="E82" s="4">
        <f t="shared" si="72"/>
        <v>2387.2567973274763</v>
      </c>
      <c r="F82" s="4">
        <f t="shared" si="72"/>
        <v>1481.7455983411924</v>
      </c>
      <c r="G82" s="4">
        <f t="shared" si="72"/>
        <v>1481.7455983411924</v>
      </c>
      <c r="H82" s="4">
        <f t="shared" si="72"/>
        <v>6914.8127922588974</v>
      </c>
      <c r="I82" s="4">
        <f t="shared" si="72"/>
        <v>1481.7455983411924</v>
      </c>
      <c r="J82" s="4">
        <f t="shared" si="72"/>
        <v>1481.7455983411924</v>
      </c>
      <c r="K82" s="4">
        <f t="shared" si="72"/>
        <v>4288.8303151986738</v>
      </c>
      <c r="L82" s="4">
        <f t="shared" ref="L82" si="73">L81+L$68/(1+$J$2)^7</f>
        <v>1481.7455983411924</v>
      </c>
      <c r="M82" s="4">
        <f t="shared" si="72"/>
        <v>3564.4213560096459</v>
      </c>
      <c r="N82" s="1"/>
      <c r="O82" s="1"/>
      <c r="P82" s="1"/>
      <c r="Q82" s="136">
        <f t="shared" si="67"/>
        <v>6.245999999999996E-2</v>
      </c>
      <c r="R82" s="136">
        <f t="shared" si="63"/>
        <v>0.11912000000000011</v>
      </c>
      <c r="S82" s="136">
        <f t="shared" si="63"/>
        <v>0.17034000000000005</v>
      </c>
      <c r="T82" s="136">
        <f t="shared" si="63"/>
        <v>0.21648000000000001</v>
      </c>
      <c r="U82" s="136">
        <f t="shared" si="63"/>
        <v>0.25790000000000002</v>
      </c>
      <c r="V82" s="136">
        <f t="shared" si="63"/>
        <v>0.29495999999999989</v>
      </c>
      <c r="W82" s="136">
        <f t="shared" si="63"/>
        <v>0.32801999999999998</v>
      </c>
      <c r="X82" s="136">
        <f t="shared" si="63"/>
        <v>0.35744000000000009</v>
      </c>
      <c r="Y82" s="136">
        <f t="shared" si="63"/>
        <v>0.38358000000000014</v>
      </c>
      <c r="Z82" s="136">
        <f t="shared" si="63"/>
        <v>0.40680000000000005</v>
      </c>
      <c r="AA82" s="136">
        <f t="shared" si="63"/>
        <v>0.42746000000000006</v>
      </c>
      <c r="AB82" s="136">
        <f t="shared" si="63"/>
        <v>0.44592000000000009</v>
      </c>
      <c r="AC82" s="136">
        <f t="shared" si="63"/>
        <v>0.46253999999999995</v>
      </c>
      <c r="AD82" s="136">
        <f t="shared" si="63"/>
        <v>0.47767999999999988</v>
      </c>
      <c r="AE82" s="136">
        <f t="shared" si="63"/>
        <v>0.49170000000000003</v>
      </c>
      <c r="AF82" s="136">
        <f t="shared" si="63"/>
        <v>0.50495999999999985</v>
      </c>
      <c r="AG82" s="136">
        <f t="shared" si="63"/>
        <v>0.51782000000000017</v>
      </c>
      <c r="AH82" s="136">
        <f t="shared" si="63"/>
        <v>0.53064</v>
      </c>
      <c r="AI82" s="136"/>
      <c r="AJ82" s="136"/>
      <c r="AK82" s="136"/>
    </row>
    <row r="83" spans="1:37" ht="18.75" hidden="1" customHeight="1">
      <c r="A83" s="2"/>
      <c r="B83" s="1" t="s">
        <v>220</v>
      </c>
      <c r="C83" s="4">
        <f t="shared" ref="C83:M83" si="74">C82+C$68/(1+$J$2)^8</f>
        <v>1744.7940721419066</v>
      </c>
      <c r="D83" s="4">
        <f t="shared" si="74"/>
        <v>1744.7940721419066</v>
      </c>
      <c r="E83" s="4">
        <f t="shared" si="74"/>
        <v>2811.0571162286269</v>
      </c>
      <c r="F83" s="4">
        <f t="shared" si="74"/>
        <v>1744.7940721419066</v>
      </c>
      <c r="G83" s="4">
        <f t="shared" si="74"/>
        <v>1744.7940721419066</v>
      </c>
      <c r="H83" s="4">
        <f t="shared" si="74"/>
        <v>8142.3723366622298</v>
      </c>
      <c r="I83" s="4">
        <f t="shared" si="74"/>
        <v>1744.7940721419066</v>
      </c>
      <c r="J83" s="4">
        <f t="shared" si="74"/>
        <v>1744.7940721419066</v>
      </c>
      <c r="K83" s="4">
        <f t="shared" si="74"/>
        <v>5050.2095088107408</v>
      </c>
      <c r="L83" s="4">
        <f t="shared" ref="L83" si="75">L82+L$68/(1+$J$2)^8</f>
        <v>1744.7940721419066</v>
      </c>
      <c r="M83" s="4">
        <f t="shared" si="74"/>
        <v>4197.1990735413638</v>
      </c>
      <c r="N83" s="1"/>
      <c r="O83" s="1"/>
      <c r="P83" s="1"/>
      <c r="Q83" s="136">
        <f t="shared" si="67"/>
        <v>5.6660000000000155E-2</v>
      </c>
      <c r="R83" s="136">
        <f t="shared" si="63"/>
        <v>0.10788000000000009</v>
      </c>
      <c r="S83" s="136">
        <f t="shared" si="63"/>
        <v>0.15402000000000005</v>
      </c>
      <c r="T83" s="136">
        <f t="shared" si="63"/>
        <v>0.19544000000000006</v>
      </c>
      <c r="U83" s="136">
        <f t="shared" si="63"/>
        <v>0.23249999999999993</v>
      </c>
      <c r="V83" s="136">
        <f t="shared" si="63"/>
        <v>0.26556000000000002</v>
      </c>
      <c r="W83" s="136">
        <f t="shared" si="63"/>
        <v>0.29498000000000013</v>
      </c>
      <c r="X83" s="136">
        <f t="shared" si="63"/>
        <v>0.32112000000000018</v>
      </c>
      <c r="Y83" s="136">
        <f t="shared" si="63"/>
        <v>0.34434000000000009</v>
      </c>
      <c r="Z83" s="136">
        <f t="shared" si="63"/>
        <v>0.3650000000000001</v>
      </c>
      <c r="AA83" s="136">
        <f t="shared" si="63"/>
        <v>0.38346000000000013</v>
      </c>
      <c r="AB83" s="136">
        <f t="shared" si="63"/>
        <v>0.40007999999999999</v>
      </c>
      <c r="AC83" s="136">
        <f t="shared" si="63"/>
        <v>0.41521999999999992</v>
      </c>
      <c r="AD83" s="136">
        <f t="shared" si="63"/>
        <v>0.42924000000000007</v>
      </c>
      <c r="AE83" s="136">
        <f t="shared" si="63"/>
        <v>0.44249999999999989</v>
      </c>
      <c r="AF83" s="136">
        <f t="shared" si="63"/>
        <v>0.45536000000000021</v>
      </c>
      <c r="AG83" s="136">
        <f t="shared" si="63"/>
        <v>0.46818000000000004</v>
      </c>
      <c r="AH83" s="136"/>
      <c r="AI83" s="136"/>
      <c r="AJ83" s="136"/>
      <c r="AK83" s="136"/>
    </row>
    <row r="84" spans="1:37" ht="18.75" hidden="1" customHeight="1">
      <c r="A84" s="2"/>
      <c r="B84" s="12" t="s">
        <v>221</v>
      </c>
      <c r="C84" s="43">
        <f t="shared" ref="C84:M84" si="76">C83+C$68/(1+$J$2)^9</f>
        <v>1997.7252969502856</v>
      </c>
      <c r="D84" s="43">
        <f t="shared" si="76"/>
        <v>1997.7252969502856</v>
      </c>
      <c r="E84" s="43">
        <f t="shared" si="76"/>
        <v>3218.5574228643486</v>
      </c>
      <c r="F84" s="43">
        <f t="shared" si="76"/>
        <v>1997.7252969502856</v>
      </c>
      <c r="G84" s="43">
        <f t="shared" si="76"/>
        <v>1997.7252969502856</v>
      </c>
      <c r="H84" s="43">
        <f t="shared" si="76"/>
        <v>9322.7180524346659</v>
      </c>
      <c r="I84" s="43">
        <f t="shared" si="76"/>
        <v>1997.7252969502856</v>
      </c>
      <c r="J84" s="43">
        <f t="shared" si="76"/>
        <v>1997.7252969502856</v>
      </c>
      <c r="K84" s="43">
        <f t="shared" si="76"/>
        <v>5782.3048872838826</v>
      </c>
      <c r="L84" s="43">
        <f t="shared" ref="L84" si="77">L83+L$68/(1+$J$2)^9</f>
        <v>1997.7252969502856</v>
      </c>
      <c r="M84" s="43">
        <f t="shared" si="76"/>
        <v>4805.6391865526311</v>
      </c>
      <c r="N84" s="1"/>
      <c r="O84" s="1"/>
      <c r="P84" s="1"/>
      <c r="Q84" s="136">
        <f t="shared" si="67"/>
        <v>5.1219999999999932E-2</v>
      </c>
      <c r="R84" s="136">
        <f t="shared" si="63"/>
        <v>9.7359999999999891E-2</v>
      </c>
      <c r="S84" s="136">
        <f t="shared" si="63"/>
        <v>0.1387799999999999</v>
      </c>
      <c r="T84" s="136">
        <f t="shared" si="63"/>
        <v>0.17583999999999977</v>
      </c>
      <c r="U84" s="136">
        <f t="shared" si="63"/>
        <v>0.20889999999999986</v>
      </c>
      <c r="V84" s="136">
        <f t="shared" si="63"/>
        <v>0.23831999999999998</v>
      </c>
      <c r="W84" s="136">
        <f t="shared" si="63"/>
        <v>0.26446000000000003</v>
      </c>
      <c r="X84" s="136">
        <f t="shared" si="63"/>
        <v>0.28767999999999994</v>
      </c>
      <c r="Y84" s="136">
        <f t="shared" si="63"/>
        <v>0.30833999999999995</v>
      </c>
      <c r="Z84" s="136">
        <f t="shared" si="63"/>
        <v>0.32679999999999998</v>
      </c>
      <c r="AA84" s="136">
        <f t="shared" si="63"/>
        <v>0.34341999999999984</v>
      </c>
      <c r="AB84" s="136">
        <f t="shared" si="63"/>
        <v>0.35855999999999977</v>
      </c>
      <c r="AC84" s="136">
        <f t="shared" si="63"/>
        <v>0.37257999999999991</v>
      </c>
      <c r="AD84" s="136">
        <f t="shared" si="63"/>
        <v>0.38583999999999974</v>
      </c>
      <c r="AE84" s="136">
        <f t="shared" si="63"/>
        <v>0.39870000000000005</v>
      </c>
      <c r="AF84" s="136">
        <f t="shared" si="63"/>
        <v>0.41151999999999989</v>
      </c>
      <c r="AG84" s="136"/>
      <c r="AH84" s="136"/>
      <c r="AI84" s="136"/>
      <c r="AJ84" s="136"/>
      <c r="AK84" s="136"/>
    </row>
    <row r="85" spans="1:37" ht="18.75" hidden="1" customHeight="1">
      <c r="A85" s="2"/>
      <c r="B85" s="1" t="s">
        <v>222</v>
      </c>
      <c r="C85" s="1">
        <f t="shared" ref="C85:M85" si="78">360+IF(C$14=$E$8,IF(C$15&gt;$P$19,(C$15-$P$19)*$Q$19/2,0),IF(C$14=$E$7,IF(C$15&gt;$P$19,(C$15-$P$19)*$Q$19/2,0),IF(C$15&gt;$P$15,IF(C$15&gt;$P$16,(C$15-$P$16)*$Q$16+($P$16-$P$15)*$Q$15,(C$15-$P$15)*$Q$15))+IF(C$14=$E$6,$Y$3+C$15*$Y$4,IF(C$14=$E$5,$Y$3+C$15*$Y$4,0))))</f>
        <v>360</v>
      </c>
      <c r="D85" s="1">
        <f t="shared" si="78"/>
        <v>360</v>
      </c>
      <c r="E85" s="1">
        <f t="shared" si="78"/>
        <v>5282</v>
      </c>
      <c r="F85" s="1">
        <f t="shared" si="78"/>
        <v>360</v>
      </c>
      <c r="G85" s="1">
        <f t="shared" si="78"/>
        <v>360</v>
      </c>
      <c r="H85" s="1">
        <f t="shared" si="78"/>
        <v>11782</v>
      </c>
      <c r="I85" s="1">
        <f t="shared" si="78"/>
        <v>360</v>
      </c>
      <c r="J85" s="1">
        <f t="shared" si="78"/>
        <v>360</v>
      </c>
      <c r="K85" s="1">
        <f t="shared" si="78"/>
        <v>7954</v>
      </c>
      <c r="L85" s="1">
        <f t="shared" si="78"/>
        <v>360</v>
      </c>
      <c r="M85" s="1">
        <f t="shared" si="78"/>
        <v>6898</v>
      </c>
      <c r="N85" s="1"/>
      <c r="O85" s="1"/>
      <c r="P85" s="1"/>
      <c r="Q85" s="136">
        <f t="shared" si="67"/>
        <v>4.6139999999999959E-2</v>
      </c>
      <c r="R85" s="136">
        <f t="shared" si="63"/>
        <v>8.7559999999999971E-2</v>
      </c>
      <c r="S85" s="136">
        <f t="shared" si="63"/>
        <v>0.12461999999999984</v>
      </c>
      <c r="T85" s="136">
        <f t="shared" si="63"/>
        <v>0.15767999999999993</v>
      </c>
      <c r="U85" s="136">
        <f t="shared" si="63"/>
        <v>0.18710000000000004</v>
      </c>
      <c r="V85" s="136">
        <f t="shared" si="63"/>
        <v>0.2132400000000001</v>
      </c>
      <c r="W85" s="136">
        <f t="shared" si="63"/>
        <v>0.23646</v>
      </c>
      <c r="X85" s="136">
        <f t="shared" si="63"/>
        <v>0.25712000000000002</v>
      </c>
      <c r="Y85" s="136">
        <f t="shared" si="63"/>
        <v>0.27558000000000005</v>
      </c>
      <c r="Z85" s="136">
        <f t="shared" si="63"/>
        <v>0.2921999999999999</v>
      </c>
      <c r="AA85" s="136">
        <f t="shared" si="63"/>
        <v>0.30733999999999984</v>
      </c>
      <c r="AB85" s="136">
        <f t="shared" si="63"/>
        <v>0.32135999999999998</v>
      </c>
      <c r="AC85" s="136">
        <f t="shared" si="63"/>
        <v>0.33461999999999981</v>
      </c>
      <c r="AD85" s="136">
        <f t="shared" si="63"/>
        <v>0.34748000000000012</v>
      </c>
      <c r="AE85" s="136">
        <f t="shared" si="63"/>
        <v>0.36029999999999995</v>
      </c>
      <c r="AF85" s="136"/>
      <c r="AG85" s="136"/>
      <c r="AH85" s="136"/>
      <c r="AI85" s="136"/>
      <c r="AJ85" s="136"/>
      <c r="AK85" s="136"/>
    </row>
    <row r="86" spans="1:37" ht="18.75" hidden="1" customHeight="1">
      <c r="A86" s="2"/>
      <c r="B86" s="1" t="s">
        <v>223</v>
      </c>
      <c r="C86" s="1">
        <f t="shared" ref="C86:M87" si="79">C$85</f>
        <v>360</v>
      </c>
      <c r="D86" s="1">
        <f t="shared" si="79"/>
        <v>360</v>
      </c>
      <c r="E86" s="1">
        <f t="shared" si="79"/>
        <v>5282</v>
      </c>
      <c r="F86" s="1">
        <f t="shared" si="79"/>
        <v>360</v>
      </c>
      <c r="G86" s="1">
        <f t="shared" si="79"/>
        <v>360</v>
      </c>
      <c r="H86" s="1">
        <f t="shared" si="79"/>
        <v>11782</v>
      </c>
      <c r="I86" s="1">
        <f t="shared" si="79"/>
        <v>360</v>
      </c>
      <c r="J86" s="1">
        <f t="shared" si="79"/>
        <v>360</v>
      </c>
      <c r="K86" s="1">
        <f t="shared" si="79"/>
        <v>7954</v>
      </c>
      <c r="L86" s="1">
        <f t="shared" si="79"/>
        <v>360</v>
      </c>
      <c r="M86" s="1">
        <f t="shared" si="79"/>
        <v>6898</v>
      </c>
      <c r="N86" s="1"/>
      <c r="O86" s="1"/>
      <c r="P86" s="1"/>
      <c r="Q86" s="136">
        <f t="shared" si="67"/>
        <v>4.1420000000000012E-2</v>
      </c>
      <c r="R86" s="136">
        <f t="shared" si="63"/>
        <v>7.8479999999999883E-2</v>
      </c>
      <c r="S86" s="136">
        <f t="shared" si="63"/>
        <v>0.11153999999999997</v>
      </c>
      <c r="T86" s="136">
        <f t="shared" si="63"/>
        <v>0.14096000000000009</v>
      </c>
      <c r="U86" s="136">
        <f t="shared" si="63"/>
        <v>0.16710000000000014</v>
      </c>
      <c r="V86" s="136">
        <f t="shared" si="63"/>
        <v>0.19032000000000004</v>
      </c>
      <c r="W86" s="136">
        <f t="shared" si="63"/>
        <v>0.21098000000000006</v>
      </c>
      <c r="X86" s="136">
        <f t="shared" si="63"/>
        <v>0.22944000000000009</v>
      </c>
      <c r="Y86" s="136">
        <f t="shared" si="63"/>
        <v>0.24605999999999995</v>
      </c>
      <c r="Z86" s="136">
        <f t="shared" si="63"/>
        <v>0.26119999999999988</v>
      </c>
      <c r="AA86" s="136">
        <f t="shared" si="63"/>
        <v>0.27522000000000002</v>
      </c>
      <c r="AB86" s="136">
        <f t="shared" si="63"/>
        <v>0.28847999999999985</v>
      </c>
      <c r="AC86" s="136">
        <f t="shared" si="63"/>
        <v>0.30134000000000016</v>
      </c>
      <c r="AD86" s="136">
        <f t="shared" si="63"/>
        <v>0.31415999999999999</v>
      </c>
      <c r="AE86" s="136"/>
      <c r="AF86" s="136"/>
      <c r="AG86" s="136"/>
      <c r="AH86" s="136"/>
      <c r="AI86" s="136"/>
      <c r="AJ86" s="136"/>
      <c r="AK86" s="136"/>
    </row>
    <row r="87" spans="1:37" ht="18.75" hidden="1" customHeight="1">
      <c r="A87" s="2"/>
      <c r="B87" s="1" t="s">
        <v>224</v>
      </c>
      <c r="C87" s="1">
        <f t="shared" si="79"/>
        <v>360</v>
      </c>
      <c r="D87" s="1">
        <f t="shared" si="79"/>
        <v>360</v>
      </c>
      <c r="E87" s="1">
        <f t="shared" si="79"/>
        <v>5282</v>
      </c>
      <c r="F87" s="1">
        <f t="shared" si="79"/>
        <v>360</v>
      </c>
      <c r="G87" s="1">
        <f t="shared" si="79"/>
        <v>360</v>
      </c>
      <c r="H87" s="1">
        <f t="shared" si="79"/>
        <v>11782</v>
      </c>
      <c r="I87" s="1">
        <f t="shared" si="79"/>
        <v>360</v>
      </c>
      <c r="J87" s="1">
        <f t="shared" si="79"/>
        <v>360</v>
      </c>
      <c r="K87" s="1">
        <f t="shared" si="79"/>
        <v>7954</v>
      </c>
      <c r="L87" s="1">
        <f t="shared" si="79"/>
        <v>360</v>
      </c>
      <c r="M87" s="1">
        <f t="shared" si="79"/>
        <v>6898</v>
      </c>
      <c r="N87" s="1"/>
      <c r="O87" s="1"/>
      <c r="P87" s="1"/>
      <c r="Q87" s="136">
        <f t="shared" si="67"/>
        <v>3.7059999999999871E-2</v>
      </c>
      <c r="R87" s="136">
        <f t="shared" si="63"/>
        <v>7.011999999999996E-2</v>
      </c>
      <c r="S87" s="136">
        <f t="shared" si="63"/>
        <v>9.9540000000000073E-2</v>
      </c>
      <c r="T87" s="136">
        <f t="shared" si="63"/>
        <v>0.12568000000000012</v>
      </c>
      <c r="U87" s="136">
        <f t="shared" si="63"/>
        <v>0.14890000000000003</v>
      </c>
      <c r="V87" s="136">
        <f t="shared" si="63"/>
        <v>0.16956000000000004</v>
      </c>
      <c r="W87" s="136">
        <f t="shared" si="63"/>
        <v>0.18802000000000008</v>
      </c>
      <c r="X87" s="136">
        <f t="shared" si="63"/>
        <v>0.20463999999999993</v>
      </c>
      <c r="Y87" s="136">
        <f t="shared" si="63"/>
        <v>0.21977999999999986</v>
      </c>
      <c r="Z87" s="136">
        <f t="shared" si="63"/>
        <v>0.23380000000000001</v>
      </c>
      <c r="AA87" s="136">
        <f t="shared" si="63"/>
        <v>0.24705999999999984</v>
      </c>
      <c r="AB87" s="136">
        <f t="shared" si="63"/>
        <v>0.25992000000000015</v>
      </c>
      <c r="AC87" s="136">
        <f t="shared" si="63"/>
        <v>0.27273999999999998</v>
      </c>
      <c r="AD87" s="136"/>
      <c r="AE87" s="136"/>
      <c r="AF87" s="136"/>
      <c r="AG87" s="136"/>
      <c r="AH87" s="136"/>
      <c r="AI87" s="136"/>
      <c r="AJ87" s="136"/>
      <c r="AK87" s="136"/>
    </row>
    <row r="88" spans="1:37" ht="18.75" hidden="1" customHeight="1">
      <c r="A88" s="2"/>
      <c r="B88" s="1" t="s">
        <v>225</v>
      </c>
      <c r="C88" s="1">
        <v>0</v>
      </c>
      <c r="D88" s="1">
        <v>0</v>
      </c>
      <c r="E88" s="1">
        <v>0</v>
      </c>
      <c r="F88" s="1">
        <v>0</v>
      </c>
      <c r="G88" s="1">
        <v>0</v>
      </c>
      <c r="H88" s="1">
        <v>0</v>
      </c>
      <c r="I88" s="1">
        <v>0</v>
      </c>
      <c r="J88" s="1">
        <v>0</v>
      </c>
      <c r="K88" s="1">
        <v>0</v>
      </c>
      <c r="L88" s="1">
        <v>0</v>
      </c>
      <c r="M88" s="1">
        <v>0</v>
      </c>
      <c r="N88" s="1"/>
      <c r="O88" s="1"/>
      <c r="P88" s="1"/>
      <c r="Q88" s="136">
        <f t="shared" si="67"/>
        <v>3.3060000000000089E-2</v>
      </c>
      <c r="R88" s="136">
        <f t="shared" si="63"/>
        <v>6.2480000000000202E-2</v>
      </c>
      <c r="S88" s="136">
        <f t="shared" si="63"/>
        <v>8.8620000000000254E-2</v>
      </c>
      <c r="T88" s="136">
        <f t="shared" si="63"/>
        <v>0.11184000000000016</v>
      </c>
      <c r="U88" s="136">
        <f t="shared" si="63"/>
        <v>0.13250000000000017</v>
      </c>
      <c r="V88" s="136">
        <f t="shared" si="63"/>
        <v>0.15096000000000021</v>
      </c>
      <c r="W88" s="136">
        <f t="shared" si="63"/>
        <v>0.16758000000000006</v>
      </c>
      <c r="X88" s="136">
        <f t="shared" si="63"/>
        <v>0.18271999999999999</v>
      </c>
      <c r="Y88" s="136">
        <f t="shared" si="63"/>
        <v>0.19674000000000014</v>
      </c>
      <c r="Z88" s="136">
        <f t="shared" si="63"/>
        <v>0.20999999999999996</v>
      </c>
      <c r="AA88" s="136">
        <f t="shared" si="63"/>
        <v>0.22286000000000028</v>
      </c>
      <c r="AB88" s="136">
        <f t="shared" si="63"/>
        <v>0.23568000000000011</v>
      </c>
      <c r="AC88" s="136"/>
      <c r="AD88" s="136"/>
      <c r="AE88" s="136"/>
      <c r="AF88" s="136"/>
      <c r="AG88" s="136"/>
      <c r="AH88" s="136"/>
      <c r="AI88" s="136"/>
      <c r="AJ88" s="136"/>
      <c r="AK88" s="136"/>
    </row>
    <row r="89" spans="1:37" ht="18.75" hidden="1" customHeight="1">
      <c r="A89" s="2"/>
      <c r="B89" s="1" t="s">
        <v>226</v>
      </c>
      <c r="C89" s="1">
        <v>0</v>
      </c>
      <c r="D89" s="1">
        <v>0</v>
      </c>
      <c r="E89" s="1">
        <v>0</v>
      </c>
      <c r="F89" s="1">
        <v>0</v>
      </c>
      <c r="G89" s="1">
        <v>0</v>
      </c>
      <c r="H89" s="1">
        <v>0</v>
      </c>
      <c r="I89" s="1">
        <v>0</v>
      </c>
      <c r="J89" s="1">
        <v>0</v>
      </c>
      <c r="K89" s="1">
        <v>0</v>
      </c>
      <c r="L89" s="1">
        <v>0</v>
      </c>
      <c r="M89" s="1">
        <v>0</v>
      </c>
      <c r="N89" s="1"/>
      <c r="O89" s="1"/>
      <c r="P89" s="1"/>
      <c r="Q89" s="136">
        <f t="shared" si="67"/>
        <v>2.9420000000000113E-2</v>
      </c>
      <c r="R89" s="136">
        <f t="shared" si="63"/>
        <v>5.5560000000000165E-2</v>
      </c>
      <c r="S89" s="136">
        <f t="shared" si="63"/>
        <v>7.8780000000000072E-2</v>
      </c>
      <c r="T89" s="136">
        <f t="shared" si="63"/>
        <v>9.9440000000000084E-2</v>
      </c>
      <c r="U89" s="136">
        <f t="shared" si="63"/>
        <v>0.11790000000000012</v>
      </c>
      <c r="V89" s="136">
        <f t="shared" si="63"/>
        <v>0.13451999999999997</v>
      </c>
      <c r="W89" s="136">
        <f t="shared" si="63"/>
        <v>0.1496599999999999</v>
      </c>
      <c r="X89" s="136">
        <f t="shared" si="63"/>
        <v>0.16368000000000005</v>
      </c>
      <c r="Y89" s="136">
        <f t="shared" si="63"/>
        <v>0.17693999999999988</v>
      </c>
      <c r="Z89" s="136">
        <f t="shared" si="63"/>
        <v>0.18980000000000019</v>
      </c>
      <c r="AA89" s="136">
        <f t="shared" si="63"/>
        <v>0.20262000000000002</v>
      </c>
      <c r="AB89" s="136"/>
      <c r="AC89" s="136"/>
      <c r="AD89" s="136"/>
      <c r="AE89" s="136"/>
      <c r="AF89" s="136"/>
      <c r="AG89" s="136"/>
      <c r="AH89" s="136"/>
      <c r="AI89" s="136"/>
      <c r="AJ89" s="136"/>
      <c r="AK89" s="136"/>
    </row>
    <row r="90" spans="1:37" ht="18.75" hidden="1" customHeight="1">
      <c r="A90" s="2"/>
      <c r="B90" s="1" t="s">
        <v>227</v>
      </c>
      <c r="C90" s="1">
        <v>0</v>
      </c>
      <c r="D90" s="1">
        <v>0</v>
      </c>
      <c r="E90" s="1">
        <v>0</v>
      </c>
      <c r="F90" s="1">
        <v>0</v>
      </c>
      <c r="G90" s="1">
        <v>0</v>
      </c>
      <c r="H90" s="1">
        <v>0</v>
      </c>
      <c r="I90" s="1">
        <v>0</v>
      </c>
      <c r="J90" s="1">
        <v>0</v>
      </c>
      <c r="K90" s="1">
        <v>0</v>
      </c>
      <c r="L90" s="1">
        <v>0</v>
      </c>
      <c r="M90" s="1">
        <v>0</v>
      </c>
      <c r="N90" s="1"/>
      <c r="O90" s="1"/>
      <c r="P90" s="1"/>
      <c r="Q90" s="136">
        <f t="shared" si="67"/>
        <v>2.6140000000000052E-2</v>
      </c>
      <c r="R90" s="136">
        <f t="shared" si="63"/>
        <v>4.9359999999999959E-2</v>
      </c>
      <c r="S90" s="136">
        <f t="shared" si="63"/>
        <v>7.0019999999999971E-2</v>
      </c>
      <c r="T90" s="136">
        <f t="shared" si="63"/>
        <v>8.8480000000000003E-2</v>
      </c>
      <c r="U90" s="136">
        <f t="shared" si="63"/>
        <v>0.10509999999999986</v>
      </c>
      <c r="V90" s="136">
        <f t="shared" si="63"/>
        <v>0.12023999999999979</v>
      </c>
      <c r="W90" s="136">
        <f t="shared" si="63"/>
        <v>0.13425999999999993</v>
      </c>
      <c r="X90" s="136">
        <f t="shared" si="63"/>
        <v>0.14751999999999976</v>
      </c>
      <c r="Y90" s="136">
        <f t="shared" si="63"/>
        <v>0.16038000000000008</v>
      </c>
      <c r="Z90" s="136">
        <f t="shared" si="63"/>
        <v>0.17319999999999991</v>
      </c>
      <c r="AA90" s="136"/>
      <c r="AB90" s="136"/>
      <c r="AC90" s="136"/>
      <c r="AD90" s="136"/>
      <c r="AE90" s="136"/>
      <c r="AF90" s="136"/>
      <c r="AG90" s="136"/>
      <c r="AH90" s="136"/>
      <c r="AI90" s="136"/>
      <c r="AJ90" s="136"/>
      <c r="AK90" s="136"/>
    </row>
    <row r="91" spans="1:37" ht="18.75" hidden="1" customHeight="1">
      <c r="A91" s="2"/>
      <c r="B91" s="1" t="s">
        <v>228</v>
      </c>
      <c r="C91" s="1">
        <v>0</v>
      </c>
      <c r="D91" s="1">
        <v>0</v>
      </c>
      <c r="E91" s="1">
        <v>0</v>
      </c>
      <c r="F91" s="1">
        <v>0</v>
      </c>
      <c r="G91" s="1">
        <v>0</v>
      </c>
      <c r="H91" s="1">
        <v>0</v>
      </c>
      <c r="I91" s="1">
        <v>0</v>
      </c>
      <c r="J91" s="1">
        <v>0</v>
      </c>
      <c r="K91" s="1">
        <v>0</v>
      </c>
      <c r="L91" s="1">
        <v>0</v>
      </c>
      <c r="M91" s="1">
        <v>0</v>
      </c>
      <c r="N91" s="1"/>
      <c r="O91" s="1"/>
      <c r="P91" s="1"/>
      <c r="Q91" s="136">
        <f t="shared" si="67"/>
        <v>2.3219999999999907E-2</v>
      </c>
      <c r="R91" s="136">
        <f t="shared" si="63"/>
        <v>4.3879999999999919E-2</v>
      </c>
      <c r="S91" s="136">
        <f t="shared" si="63"/>
        <v>6.2339999999999951E-2</v>
      </c>
      <c r="T91" s="136">
        <f t="shared" si="63"/>
        <v>7.8959999999999808E-2</v>
      </c>
      <c r="U91" s="136">
        <f t="shared" si="63"/>
        <v>9.4099999999999739E-2</v>
      </c>
      <c r="V91" s="136">
        <f t="shared" si="63"/>
        <v>0.10811999999999988</v>
      </c>
      <c r="W91" s="136">
        <f t="shared" si="63"/>
        <v>0.12137999999999971</v>
      </c>
      <c r="X91" s="136">
        <f t="shared" si="63"/>
        <v>0.13424000000000003</v>
      </c>
      <c r="Y91" s="136">
        <f t="shared" si="63"/>
        <v>0.14705999999999986</v>
      </c>
      <c r="Z91" s="136"/>
      <c r="AA91" s="136"/>
      <c r="AB91" s="136"/>
      <c r="AC91" s="136"/>
      <c r="AD91" s="136"/>
      <c r="AE91" s="136"/>
      <c r="AF91" s="136"/>
      <c r="AG91" s="136"/>
      <c r="AH91" s="136"/>
      <c r="AI91" s="136"/>
      <c r="AJ91" s="136"/>
      <c r="AK91" s="136"/>
    </row>
    <row r="92" spans="1:37" ht="18.75" hidden="1" customHeight="1">
      <c r="A92" s="2"/>
      <c r="B92" s="1" t="s">
        <v>229</v>
      </c>
      <c r="C92" s="1">
        <v>0</v>
      </c>
      <c r="D92" s="1">
        <v>0</v>
      </c>
      <c r="E92" s="1">
        <v>0</v>
      </c>
      <c r="F92" s="1">
        <v>0</v>
      </c>
      <c r="G92" s="1">
        <v>0</v>
      </c>
      <c r="H92" s="1">
        <v>0</v>
      </c>
      <c r="I92" s="1">
        <v>0</v>
      </c>
      <c r="J92" s="1">
        <v>0</v>
      </c>
      <c r="K92" s="1">
        <v>0</v>
      </c>
      <c r="L92" s="1">
        <v>0</v>
      </c>
      <c r="M92" s="1">
        <v>0</v>
      </c>
      <c r="N92" s="1"/>
      <c r="O92" s="1"/>
      <c r="P92" s="1"/>
      <c r="Q92" s="136">
        <f t="shared" si="67"/>
        <v>2.0660000000000012E-2</v>
      </c>
      <c r="R92" s="136">
        <f t="shared" ref="R92:X97" si="80">1-R68</f>
        <v>3.9120000000000044E-2</v>
      </c>
      <c r="S92" s="136">
        <f t="shared" si="80"/>
        <v>5.5739999999999901E-2</v>
      </c>
      <c r="T92" s="136">
        <f t="shared" si="80"/>
        <v>7.0879999999999832E-2</v>
      </c>
      <c r="U92" s="136">
        <f t="shared" si="80"/>
        <v>8.4899999999999975E-2</v>
      </c>
      <c r="V92" s="136">
        <f t="shared" si="80"/>
        <v>9.8159999999999803E-2</v>
      </c>
      <c r="W92" s="136">
        <f t="shared" si="80"/>
        <v>0.11102000000000012</v>
      </c>
      <c r="X92" s="136">
        <f t="shared" si="80"/>
        <v>0.12383999999999995</v>
      </c>
      <c r="Y92" s="136"/>
      <c r="Z92" s="136"/>
      <c r="AA92" s="136"/>
      <c r="AB92" s="136"/>
      <c r="AC92" s="136"/>
      <c r="AD92" s="136"/>
      <c r="AE92" s="136"/>
      <c r="AF92" s="136"/>
      <c r="AG92" s="136"/>
      <c r="AH92" s="136"/>
      <c r="AI92" s="136"/>
      <c r="AJ92" s="136"/>
      <c r="AK92" s="136"/>
    </row>
    <row r="93" spans="1:37" ht="18.75" hidden="1" customHeight="1">
      <c r="A93" s="2"/>
      <c r="B93" s="1" t="s">
        <v>230</v>
      </c>
      <c r="C93" s="1">
        <v>0</v>
      </c>
      <c r="D93" s="1">
        <v>0</v>
      </c>
      <c r="E93" s="1">
        <v>0</v>
      </c>
      <c r="F93" s="1">
        <v>0</v>
      </c>
      <c r="G93" s="1">
        <v>0</v>
      </c>
      <c r="H93" s="1">
        <v>0</v>
      </c>
      <c r="I93" s="1">
        <v>0</v>
      </c>
      <c r="J93" s="1">
        <v>0</v>
      </c>
      <c r="K93" s="1">
        <v>0</v>
      </c>
      <c r="L93" s="1">
        <v>0</v>
      </c>
      <c r="M93" s="1">
        <v>0</v>
      </c>
      <c r="N93" s="1"/>
      <c r="O93" s="1"/>
      <c r="P93" s="1"/>
      <c r="Q93" s="136">
        <f t="shared" si="67"/>
        <v>1.8460000000000032E-2</v>
      </c>
      <c r="R93" s="136">
        <f t="shared" si="80"/>
        <v>3.5079999999999889E-2</v>
      </c>
      <c r="S93" s="136">
        <f t="shared" si="80"/>
        <v>5.021999999999982E-2</v>
      </c>
      <c r="T93" s="136">
        <f t="shared" si="80"/>
        <v>6.4239999999999964E-2</v>
      </c>
      <c r="U93" s="136">
        <f t="shared" si="80"/>
        <v>7.7499999999999791E-2</v>
      </c>
      <c r="V93" s="136">
        <f t="shared" si="80"/>
        <v>9.0360000000000107E-2</v>
      </c>
      <c r="W93" s="136">
        <f t="shared" si="80"/>
        <v>0.10317999999999994</v>
      </c>
      <c r="X93" s="136"/>
      <c r="Y93" s="136"/>
      <c r="Z93" s="136"/>
      <c r="AA93" s="136"/>
      <c r="AB93" s="136"/>
      <c r="AC93" s="136"/>
      <c r="AD93" s="136"/>
      <c r="AE93" s="136"/>
      <c r="AF93" s="136"/>
      <c r="AG93" s="136"/>
      <c r="AH93" s="136"/>
      <c r="AI93" s="136"/>
      <c r="AJ93" s="136"/>
      <c r="AK93" s="136"/>
    </row>
    <row r="94" spans="1:37" ht="18.75" hidden="1" customHeight="1">
      <c r="A94" s="2"/>
      <c r="B94" s="12" t="s">
        <v>231</v>
      </c>
      <c r="C94" s="12">
        <v>0</v>
      </c>
      <c r="D94" s="12">
        <v>0</v>
      </c>
      <c r="E94" s="12">
        <v>0</v>
      </c>
      <c r="F94" s="12">
        <v>0</v>
      </c>
      <c r="G94" s="12">
        <v>0</v>
      </c>
      <c r="H94" s="12">
        <v>0</v>
      </c>
      <c r="I94" s="12">
        <v>0</v>
      </c>
      <c r="J94" s="12">
        <v>0</v>
      </c>
      <c r="K94" s="12">
        <v>0</v>
      </c>
      <c r="L94" s="12">
        <v>0</v>
      </c>
      <c r="M94" s="12">
        <v>0</v>
      </c>
      <c r="N94" s="1"/>
      <c r="O94" s="1"/>
      <c r="P94" s="1"/>
      <c r="Q94" s="136">
        <f t="shared" si="67"/>
        <v>1.6619999999999857E-2</v>
      </c>
      <c r="R94" s="136">
        <f t="shared" si="80"/>
        <v>3.1759999999999788E-2</v>
      </c>
      <c r="S94" s="136">
        <f t="shared" si="80"/>
        <v>4.5779999999999932E-2</v>
      </c>
      <c r="T94" s="136">
        <f t="shared" si="80"/>
        <v>5.9039999999999759E-2</v>
      </c>
      <c r="U94" s="136">
        <f t="shared" si="80"/>
        <v>7.1900000000000075E-2</v>
      </c>
      <c r="V94" s="136">
        <f t="shared" si="80"/>
        <v>8.4719999999999906E-2</v>
      </c>
      <c r="W94" s="136"/>
      <c r="X94" s="136"/>
      <c r="Y94" s="136"/>
      <c r="Z94" s="136"/>
      <c r="AA94" s="136"/>
      <c r="AB94" s="136"/>
      <c r="AC94" s="136"/>
      <c r="AD94" s="136"/>
      <c r="AE94" s="136"/>
      <c r="AF94" s="136"/>
      <c r="AG94" s="136"/>
      <c r="AH94" s="136"/>
      <c r="AI94" s="136"/>
      <c r="AJ94" s="136"/>
      <c r="AK94" s="136"/>
    </row>
    <row r="95" spans="1:37" ht="18.75" hidden="1" customHeight="1">
      <c r="A95" s="2"/>
      <c r="B95" s="1" t="s">
        <v>232</v>
      </c>
      <c r="C95" s="1">
        <f t="shared" ref="C95:M95" si="81">C$85</f>
        <v>360</v>
      </c>
      <c r="D95" s="1">
        <f t="shared" si="81"/>
        <v>360</v>
      </c>
      <c r="E95" s="1">
        <f t="shared" si="81"/>
        <v>5282</v>
      </c>
      <c r="F95" s="1">
        <f t="shared" si="81"/>
        <v>360</v>
      </c>
      <c r="G95" s="1">
        <f t="shared" si="81"/>
        <v>360</v>
      </c>
      <c r="H95" s="1">
        <f t="shared" si="81"/>
        <v>11782</v>
      </c>
      <c r="I95" s="1">
        <f t="shared" si="81"/>
        <v>360</v>
      </c>
      <c r="J95" s="1">
        <f t="shared" si="81"/>
        <v>360</v>
      </c>
      <c r="K95" s="1">
        <f t="shared" si="81"/>
        <v>7954</v>
      </c>
      <c r="L95" s="1">
        <f t="shared" si="81"/>
        <v>360</v>
      </c>
      <c r="M95" s="1">
        <f t="shared" si="81"/>
        <v>6898</v>
      </c>
      <c r="N95" s="1"/>
      <c r="O95" s="1"/>
      <c r="P95" s="1"/>
      <c r="Q95" s="136">
        <f t="shared" si="67"/>
        <v>1.5139999999999931E-2</v>
      </c>
      <c r="R95" s="136">
        <f t="shared" si="80"/>
        <v>2.9160000000000075E-2</v>
      </c>
      <c r="S95" s="136">
        <f t="shared" si="80"/>
        <v>4.2419999999999902E-2</v>
      </c>
      <c r="T95" s="136">
        <f t="shared" si="80"/>
        <v>5.5280000000000218E-2</v>
      </c>
      <c r="U95" s="136">
        <f t="shared" si="80"/>
        <v>6.8100000000000049E-2</v>
      </c>
      <c r="V95" s="136"/>
      <c r="W95" s="136"/>
      <c r="X95" s="136"/>
      <c r="Y95" s="136"/>
      <c r="Z95" s="136"/>
      <c r="AA95" s="136"/>
      <c r="AB95" s="136"/>
      <c r="AC95" s="136"/>
      <c r="AD95" s="136"/>
      <c r="AE95" s="136"/>
      <c r="AF95" s="136"/>
      <c r="AG95" s="136"/>
      <c r="AH95" s="136"/>
      <c r="AI95" s="136"/>
      <c r="AJ95" s="136"/>
      <c r="AK95" s="136"/>
    </row>
    <row r="96" spans="1:37" ht="18.75" hidden="1" customHeight="1">
      <c r="A96" s="2"/>
      <c r="B96" s="1" t="s">
        <v>233</v>
      </c>
      <c r="C96" s="1">
        <f t="shared" ref="C96:M96" si="82">C$85+NPV($J$2,C86)</f>
        <v>706.15384615384619</v>
      </c>
      <c r="D96" s="1">
        <f t="shared" si="82"/>
        <v>706.15384615384619</v>
      </c>
      <c r="E96" s="1">
        <f t="shared" si="82"/>
        <v>10360.846153846152</v>
      </c>
      <c r="F96" s="1">
        <f t="shared" si="82"/>
        <v>706.15384615384619</v>
      </c>
      <c r="G96" s="1">
        <f t="shared" si="82"/>
        <v>706.15384615384619</v>
      </c>
      <c r="H96" s="1">
        <f t="shared" si="82"/>
        <v>23110.846153846156</v>
      </c>
      <c r="I96" s="1">
        <f t="shared" si="82"/>
        <v>706.15384615384619</v>
      </c>
      <c r="J96" s="1">
        <f t="shared" si="82"/>
        <v>706.15384615384619</v>
      </c>
      <c r="K96" s="1">
        <f t="shared" si="82"/>
        <v>15602.076923076922</v>
      </c>
      <c r="L96" s="1">
        <f t="shared" ref="L96" si="83">L$85+NPV($J$2,L86)</f>
        <v>706.15384615384619</v>
      </c>
      <c r="M96" s="1">
        <f t="shared" si="82"/>
        <v>13530.692307692309</v>
      </c>
      <c r="N96" s="1"/>
      <c r="O96" s="1"/>
      <c r="P96" s="1"/>
      <c r="Q96" s="136">
        <f t="shared" si="67"/>
        <v>1.4020000000000143E-2</v>
      </c>
      <c r="R96" s="136">
        <f t="shared" si="80"/>
        <v>2.7279999999999971E-2</v>
      </c>
      <c r="S96" s="136">
        <f t="shared" si="80"/>
        <v>4.0140000000000287E-2</v>
      </c>
      <c r="T96" s="136">
        <f t="shared" si="80"/>
        <v>5.2960000000000118E-2</v>
      </c>
      <c r="U96" s="136"/>
      <c r="V96" s="136"/>
      <c r="W96" s="136"/>
      <c r="X96" s="136"/>
      <c r="Y96" s="136"/>
      <c r="Z96" s="136"/>
      <c r="AA96" s="136"/>
      <c r="AB96" s="136"/>
      <c r="AC96" s="136"/>
      <c r="AD96" s="136"/>
      <c r="AE96" s="136"/>
      <c r="AF96" s="136"/>
      <c r="AG96" s="136"/>
      <c r="AH96" s="136"/>
      <c r="AI96" s="136"/>
      <c r="AJ96" s="136"/>
      <c r="AK96" s="136"/>
    </row>
    <row r="97" spans="1:37" ht="18.75" hidden="1" customHeight="1">
      <c r="A97" s="2"/>
      <c r="B97" s="1" t="s">
        <v>234</v>
      </c>
      <c r="C97" s="1">
        <f t="shared" ref="C97:M97" si="84">C$85+NPV($J$2,C86:C87)</f>
        <v>1038.9940828402368</v>
      </c>
      <c r="D97" s="1">
        <f t="shared" si="84"/>
        <v>1038.9940828402368</v>
      </c>
      <c r="E97" s="1">
        <f t="shared" si="84"/>
        <v>15244.352071005915</v>
      </c>
      <c r="F97" s="1">
        <f t="shared" si="84"/>
        <v>1038.9940828402368</v>
      </c>
      <c r="G97" s="1">
        <f t="shared" si="84"/>
        <v>1038.9940828402368</v>
      </c>
      <c r="H97" s="1">
        <f t="shared" si="84"/>
        <v>34003.967455621299</v>
      </c>
      <c r="I97" s="1">
        <f t="shared" si="84"/>
        <v>1038.9940828402368</v>
      </c>
      <c r="J97" s="1">
        <f t="shared" si="84"/>
        <v>1038.9940828402368</v>
      </c>
      <c r="K97" s="1">
        <f t="shared" si="84"/>
        <v>22955.997041420116</v>
      </c>
      <c r="L97" s="1">
        <f t="shared" ref="L97" si="85">L$85+NPV($J$2,L86:L87)</f>
        <v>1038.9940828402368</v>
      </c>
      <c r="M97" s="1">
        <f t="shared" si="84"/>
        <v>19908.281065088759</v>
      </c>
      <c r="N97" s="1"/>
      <c r="O97" s="1"/>
      <c r="P97" s="1"/>
      <c r="Q97" s="136">
        <f t="shared" si="67"/>
        <v>1.3259999999999827E-2</v>
      </c>
      <c r="R97" s="136">
        <f t="shared" si="80"/>
        <v>2.6120000000000143E-2</v>
      </c>
      <c r="S97" s="136">
        <f t="shared" si="80"/>
        <v>3.8939999999999975E-2</v>
      </c>
      <c r="T97" s="136"/>
      <c r="U97" s="136"/>
      <c r="V97" s="136"/>
      <c r="W97" s="136"/>
      <c r="X97" s="136"/>
      <c r="Y97" s="136"/>
      <c r="Z97" s="136"/>
      <c r="AA97" s="136"/>
      <c r="AB97" s="136"/>
      <c r="AC97" s="136"/>
      <c r="AD97" s="136"/>
      <c r="AE97" s="136"/>
      <c r="AF97" s="136"/>
      <c r="AG97" s="136"/>
      <c r="AH97" s="136"/>
      <c r="AI97" s="136"/>
      <c r="AJ97" s="136"/>
      <c r="AK97" s="136"/>
    </row>
    <row r="98" spans="1:37" ht="18.75" hidden="1" customHeight="1">
      <c r="A98" s="2"/>
      <c r="B98" s="1" t="s">
        <v>235</v>
      </c>
      <c r="C98" s="1">
        <f t="shared" ref="C98:M104" si="86">C$97</f>
        <v>1038.9940828402368</v>
      </c>
      <c r="D98" s="1">
        <f t="shared" si="86"/>
        <v>1038.9940828402368</v>
      </c>
      <c r="E98" s="1">
        <f t="shared" si="86"/>
        <v>15244.352071005915</v>
      </c>
      <c r="F98" s="1">
        <f t="shared" si="86"/>
        <v>1038.9940828402368</v>
      </c>
      <c r="G98" s="1">
        <f t="shared" si="86"/>
        <v>1038.9940828402368</v>
      </c>
      <c r="H98" s="1">
        <f t="shared" si="86"/>
        <v>34003.967455621299</v>
      </c>
      <c r="I98" s="1">
        <f t="shared" si="86"/>
        <v>1038.9940828402368</v>
      </c>
      <c r="J98" s="1">
        <f t="shared" si="86"/>
        <v>1038.9940828402368</v>
      </c>
      <c r="K98" s="1">
        <f t="shared" si="86"/>
        <v>22955.997041420116</v>
      </c>
      <c r="L98" s="1">
        <f t="shared" si="86"/>
        <v>1038.9940828402368</v>
      </c>
      <c r="M98" s="1">
        <f t="shared" si="86"/>
        <v>19908.281065088759</v>
      </c>
      <c r="N98" s="1"/>
      <c r="O98" s="1"/>
      <c r="P98" s="1"/>
      <c r="Q98" s="136">
        <f>1-Q74</f>
        <v>1.2860000000000316E-2</v>
      </c>
      <c r="R98" s="136">
        <f t="shared" ref="R98" si="87">1-R74</f>
        <v>2.5680000000000147E-2</v>
      </c>
      <c r="S98" s="136"/>
      <c r="T98" s="136"/>
      <c r="U98" s="136"/>
      <c r="V98" s="136"/>
      <c r="W98" s="136"/>
      <c r="X98" s="136"/>
      <c r="Y98" s="136"/>
      <c r="Z98" s="136"/>
      <c r="AA98" s="136"/>
      <c r="AB98" s="136"/>
      <c r="AC98" s="136"/>
      <c r="AD98" s="136"/>
      <c r="AE98" s="136"/>
      <c r="AF98" s="136"/>
      <c r="AG98" s="136"/>
      <c r="AH98" s="136"/>
      <c r="AI98" s="136"/>
      <c r="AJ98" s="136"/>
      <c r="AK98" s="136"/>
    </row>
    <row r="99" spans="1:37" ht="18.75" hidden="1" customHeight="1">
      <c r="A99" s="2"/>
      <c r="B99" s="1" t="s">
        <v>236</v>
      </c>
      <c r="C99" s="1">
        <f t="shared" si="86"/>
        <v>1038.9940828402368</v>
      </c>
      <c r="D99" s="1">
        <f t="shared" si="86"/>
        <v>1038.9940828402368</v>
      </c>
      <c r="E99" s="1">
        <f t="shared" si="86"/>
        <v>15244.352071005915</v>
      </c>
      <c r="F99" s="1">
        <f t="shared" si="86"/>
        <v>1038.9940828402368</v>
      </c>
      <c r="G99" s="1">
        <f t="shared" si="86"/>
        <v>1038.9940828402368</v>
      </c>
      <c r="H99" s="1">
        <f t="shared" si="86"/>
        <v>34003.967455621299</v>
      </c>
      <c r="I99" s="1">
        <f t="shared" si="86"/>
        <v>1038.9940828402368</v>
      </c>
      <c r="J99" s="1">
        <f t="shared" si="86"/>
        <v>1038.9940828402368</v>
      </c>
      <c r="K99" s="1">
        <f t="shared" si="86"/>
        <v>22955.997041420116</v>
      </c>
      <c r="L99" s="1">
        <f t="shared" si="86"/>
        <v>1038.9940828402368</v>
      </c>
      <c r="M99" s="1">
        <f t="shared" si="86"/>
        <v>19908.281065088759</v>
      </c>
      <c r="N99" s="1"/>
      <c r="O99" s="1"/>
      <c r="P99" s="1"/>
      <c r="Q99" s="136">
        <f>1-Q75</f>
        <v>1.2819999999999832E-2</v>
      </c>
      <c r="R99" s="136"/>
      <c r="S99" s="136"/>
      <c r="T99" s="136"/>
      <c r="U99" s="136"/>
      <c r="V99" s="136"/>
      <c r="W99" s="136"/>
      <c r="X99" s="136"/>
      <c r="Y99" s="136"/>
      <c r="Z99" s="136"/>
      <c r="AA99" s="136"/>
      <c r="AB99" s="136"/>
      <c r="AC99" s="136"/>
      <c r="AD99" s="136"/>
      <c r="AE99" s="136"/>
      <c r="AF99" s="136"/>
      <c r="AG99" s="136"/>
      <c r="AH99" s="136"/>
      <c r="AI99" s="136"/>
      <c r="AJ99" s="136"/>
      <c r="AK99" s="136"/>
    </row>
    <row r="100" spans="1:37" ht="18.75" hidden="1" customHeight="1">
      <c r="A100" s="2"/>
      <c r="B100" s="1" t="s">
        <v>237</v>
      </c>
      <c r="C100" s="1">
        <f t="shared" si="86"/>
        <v>1038.9940828402368</v>
      </c>
      <c r="D100" s="1">
        <f t="shared" si="86"/>
        <v>1038.9940828402368</v>
      </c>
      <c r="E100" s="1">
        <f t="shared" si="86"/>
        <v>15244.352071005915</v>
      </c>
      <c r="F100" s="1">
        <f t="shared" si="86"/>
        <v>1038.9940828402368</v>
      </c>
      <c r="G100" s="1">
        <f t="shared" si="86"/>
        <v>1038.9940828402368</v>
      </c>
      <c r="H100" s="1">
        <f t="shared" si="86"/>
        <v>34003.967455621299</v>
      </c>
      <c r="I100" s="1">
        <f t="shared" si="86"/>
        <v>1038.9940828402368</v>
      </c>
      <c r="J100" s="1">
        <f t="shared" si="86"/>
        <v>1038.9940828402368</v>
      </c>
      <c r="K100" s="1">
        <f t="shared" si="86"/>
        <v>22955.997041420116</v>
      </c>
      <c r="L100" s="1">
        <f t="shared" si="86"/>
        <v>1038.9940828402368</v>
      </c>
      <c r="M100" s="1">
        <f t="shared" si="86"/>
        <v>19908.281065088759</v>
      </c>
      <c r="N100" s="1"/>
      <c r="O100" s="1"/>
      <c r="P100" s="1"/>
      <c r="Q100" s="136"/>
      <c r="R100" s="1"/>
      <c r="S100" s="1"/>
      <c r="T100" s="1"/>
    </row>
    <row r="101" spans="1:37" ht="18.75" hidden="1" customHeight="1">
      <c r="A101" s="2"/>
      <c r="B101" s="1" t="s">
        <v>238</v>
      </c>
      <c r="C101" s="1">
        <f t="shared" si="86"/>
        <v>1038.9940828402368</v>
      </c>
      <c r="D101" s="1">
        <f t="shared" si="86"/>
        <v>1038.9940828402368</v>
      </c>
      <c r="E101" s="1">
        <f t="shared" si="86"/>
        <v>15244.352071005915</v>
      </c>
      <c r="F101" s="1">
        <f t="shared" si="86"/>
        <v>1038.9940828402368</v>
      </c>
      <c r="G101" s="1">
        <f t="shared" si="86"/>
        <v>1038.9940828402368</v>
      </c>
      <c r="H101" s="1">
        <f t="shared" si="86"/>
        <v>34003.967455621299</v>
      </c>
      <c r="I101" s="1">
        <f t="shared" si="86"/>
        <v>1038.9940828402368</v>
      </c>
      <c r="J101" s="1">
        <f t="shared" si="86"/>
        <v>1038.9940828402368</v>
      </c>
      <c r="K101" s="1">
        <f t="shared" si="86"/>
        <v>22955.997041420116</v>
      </c>
      <c r="L101" s="1">
        <f t="shared" si="86"/>
        <v>1038.9940828402368</v>
      </c>
      <c r="M101" s="1">
        <f t="shared" si="86"/>
        <v>19908.281065088759</v>
      </c>
      <c r="N101" s="1"/>
      <c r="O101" s="1"/>
      <c r="P101" s="1"/>
      <c r="Q101" s="1"/>
      <c r="R101" s="1"/>
      <c r="S101" s="1"/>
      <c r="T101" s="1"/>
    </row>
    <row r="102" spans="1:37" ht="18.75" hidden="1" customHeight="1">
      <c r="A102" s="2"/>
      <c r="B102" s="1" t="s">
        <v>239</v>
      </c>
      <c r="C102" s="1">
        <f t="shared" si="86"/>
        <v>1038.9940828402368</v>
      </c>
      <c r="D102" s="1">
        <f t="shared" si="86"/>
        <v>1038.9940828402368</v>
      </c>
      <c r="E102" s="1">
        <f t="shared" si="86"/>
        <v>15244.352071005915</v>
      </c>
      <c r="F102" s="1">
        <f t="shared" si="86"/>
        <v>1038.9940828402368</v>
      </c>
      <c r="G102" s="1">
        <f t="shared" si="86"/>
        <v>1038.9940828402368</v>
      </c>
      <c r="H102" s="1">
        <f t="shared" si="86"/>
        <v>34003.967455621299</v>
      </c>
      <c r="I102" s="1">
        <f t="shared" si="86"/>
        <v>1038.9940828402368</v>
      </c>
      <c r="J102" s="1">
        <f t="shared" si="86"/>
        <v>1038.9940828402368</v>
      </c>
      <c r="K102" s="1">
        <f t="shared" si="86"/>
        <v>22955.997041420116</v>
      </c>
      <c r="L102" s="1">
        <f t="shared" si="86"/>
        <v>1038.9940828402368</v>
      </c>
      <c r="M102" s="1">
        <f t="shared" si="86"/>
        <v>19908.281065088759</v>
      </c>
      <c r="N102" s="1"/>
      <c r="O102" s="1"/>
      <c r="P102" s="1"/>
      <c r="Q102" s="1"/>
      <c r="R102" s="1"/>
      <c r="S102" s="1"/>
      <c r="T102" s="1"/>
    </row>
    <row r="103" spans="1:37" ht="18.75" hidden="1" customHeight="1">
      <c r="A103" s="2"/>
      <c r="B103" s="1" t="s">
        <v>240</v>
      </c>
      <c r="C103" s="1">
        <f t="shared" si="86"/>
        <v>1038.9940828402368</v>
      </c>
      <c r="D103" s="1">
        <f t="shared" si="86"/>
        <v>1038.9940828402368</v>
      </c>
      <c r="E103" s="1">
        <f t="shared" si="86"/>
        <v>15244.352071005915</v>
      </c>
      <c r="F103" s="1">
        <f t="shared" si="86"/>
        <v>1038.9940828402368</v>
      </c>
      <c r="G103" s="1">
        <f t="shared" si="86"/>
        <v>1038.9940828402368</v>
      </c>
      <c r="H103" s="1">
        <f t="shared" si="86"/>
        <v>34003.967455621299</v>
      </c>
      <c r="I103" s="1">
        <f t="shared" si="86"/>
        <v>1038.9940828402368</v>
      </c>
      <c r="J103" s="1">
        <f t="shared" si="86"/>
        <v>1038.9940828402368</v>
      </c>
      <c r="K103" s="1">
        <f t="shared" si="86"/>
        <v>22955.997041420116</v>
      </c>
      <c r="L103" s="1">
        <f t="shared" si="86"/>
        <v>1038.9940828402368</v>
      </c>
      <c r="M103" s="1">
        <f t="shared" si="86"/>
        <v>19908.281065088759</v>
      </c>
      <c r="N103" s="1"/>
      <c r="O103" s="1"/>
      <c r="P103" s="1"/>
      <c r="Q103" s="1"/>
      <c r="R103" s="1"/>
      <c r="S103" s="1"/>
      <c r="T103" s="1"/>
    </row>
    <row r="104" spans="1:37" ht="18.75" hidden="1" customHeight="1">
      <c r="A104" s="2"/>
      <c r="B104" s="12" t="s">
        <v>241</v>
      </c>
      <c r="C104" s="12">
        <f t="shared" si="86"/>
        <v>1038.9940828402368</v>
      </c>
      <c r="D104" s="12">
        <f t="shared" si="86"/>
        <v>1038.9940828402368</v>
      </c>
      <c r="E104" s="12">
        <f t="shared" si="86"/>
        <v>15244.352071005915</v>
      </c>
      <c r="F104" s="12">
        <f t="shared" si="86"/>
        <v>1038.9940828402368</v>
      </c>
      <c r="G104" s="12">
        <f t="shared" si="86"/>
        <v>1038.9940828402368</v>
      </c>
      <c r="H104" s="12">
        <f t="shared" si="86"/>
        <v>34003.967455621299</v>
      </c>
      <c r="I104" s="12">
        <f t="shared" si="86"/>
        <v>1038.9940828402368</v>
      </c>
      <c r="J104" s="12">
        <f t="shared" si="86"/>
        <v>1038.9940828402368</v>
      </c>
      <c r="K104" s="12">
        <f t="shared" si="86"/>
        <v>22955.997041420116</v>
      </c>
      <c r="L104" s="12">
        <f t="shared" si="86"/>
        <v>1038.9940828402368</v>
      </c>
      <c r="M104" s="12">
        <f t="shared" si="86"/>
        <v>19908.281065088759</v>
      </c>
      <c r="N104" s="1"/>
      <c r="O104" s="1"/>
      <c r="P104" s="1"/>
      <c r="Q104" s="1"/>
      <c r="R104" s="1"/>
      <c r="S104" s="1"/>
      <c r="T104" s="1"/>
    </row>
    <row r="105" spans="1:37" ht="18.75" hidden="1" customHeight="1">
      <c r="A105" s="2"/>
      <c r="B105" s="1" t="s">
        <v>242</v>
      </c>
      <c r="C105" s="3">
        <f t="shared" ref="C105:M105" si="88">360+IF(C$15&lt;$P$19,0,(C$15-$P$19)*$Q$19*IF(OR(C$14=$E$7,C$14=$E$8),0.5,1))+IF(ISNUMBER(SEARCH($E$5,C$14)),$Y$3+C$15*$Y$4,0)</f>
        <v>360</v>
      </c>
      <c r="D105" s="3">
        <f t="shared" si="88"/>
        <v>360</v>
      </c>
      <c r="E105" s="3">
        <f t="shared" si="88"/>
        <v>580</v>
      </c>
      <c r="F105" s="3">
        <f t="shared" si="88"/>
        <v>360</v>
      </c>
      <c r="G105" s="3">
        <f t="shared" si="88"/>
        <v>360</v>
      </c>
      <c r="H105" s="3">
        <f t="shared" si="88"/>
        <v>1680</v>
      </c>
      <c r="I105" s="3">
        <f t="shared" si="88"/>
        <v>360</v>
      </c>
      <c r="J105" s="3">
        <f t="shared" si="88"/>
        <v>360</v>
      </c>
      <c r="K105" s="3">
        <f t="shared" si="88"/>
        <v>1042</v>
      </c>
      <c r="L105" s="3">
        <f t="shared" si="88"/>
        <v>360</v>
      </c>
      <c r="M105" s="3">
        <f t="shared" si="88"/>
        <v>866</v>
      </c>
      <c r="N105" s="94" t="e">
        <f>#REF!</f>
        <v>#REF!</v>
      </c>
      <c r="O105" s="1"/>
      <c r="P105" s="1"/>
      <c r="Q105" s="1"/>
      <c r="R105" s="1"/>
      <c r="S105" s="1"/>
      <c r="T105" s="1"/>
    </row>
    <row r="106" spans="1:37" ht="18.75" hidden="1" customHeight="1">
      <c r="A106" s="2"/>
      <c r="B106" s="1" t="s">
        <v>243</v>
      </c>
      <c r="C106" s="1">
        <f t="shared" ref="C106:M107" si="89">C$105</f>
        <v>360</v>
      </c>
      <c r="D106" s="1">
        <f t="shared" si="89"/>
        <v>360</v>
      </c>
      <c r="E106" s="1">
        <f t="shared" si="89"/>
        <v>580</v>
      </c>
      <c r="F106" s="1">
        <f t="shared" si="89"/>
        <v>360</v>
      </c>
      <c r="G106" s="1">
        <f t="shared" si="89"/>
        <v>360</v>
      </c>
      <c r="H106" s="1">
        <f t="shared" si="89"/>
        <v>1680</v>
      </c>
      <c r="I106" s="1">
        <f t="shared" si="89"/>
        <v>360</v>
      </c>
      <c r="J106" s="1">
        <f t="shared" si="89"/>
        <v>360</v>
      </c>
      <c r="K106" s="1">
        <f t="shared" si="89"/>
        <v>1042</v>
      </c>
      <c r="L106" s="1">
        <f t="shared" si="89"/>
        <v>360</v>
      </c>
      <c r="M106" s="1">
        <f t="shared" si="89"/>
        <v>866</v>
      </c>
      <c r="N106" s="94" t="e">
        <f>#REF!</f>
        <v>#REF!</v>
      </c>
      <c r="O106" s="1"/>
      <c r="P106" s="1"/>
      <c r="Q106" s="1"/>
      <c r="R106" s="1"/>
      <c r="S106" s="1"/>
      <c r="T106" s="1"/>
    </row>
    <row r="107" spans="1:37" ht="18.75" hidden="1" customHeight="1">
      <c r="A107" s="2"/>
      <c r="B107" s="1" t="s">
        <v>244</v>
      </c>
      <c r="C107" s="1">
        <f t="shared" si="89"/>
        <v>360</v>
      </c>
      <c r="D107" s="1">
        <f t="shared" si="89"/>
        <v>360</v>
      </c>
      <c r="E107" s="1">
        <f t="shared" si="89"/>
        <v>580</v>
      </c>
      <c r="F107" s="1">
        <f t="shared" si="89"/>
        <v>360</v>
      </c>
      <c r="G107" s="1">
        <f t="shared" si="89"/>
        <v>360</v>
      </c>
      <c r="H107" s="1">
        <f t="shared" si="89"/>
        <v>1680</v>
      </c>
      <c r="I107" s="1">
        <f t="shared" si="89"/>
        <v>360</v>
      </c>
      <c r="J107" s="1">
        <f t="shared" si="89"/>
        <v>360</v>
      </c>
      <c r="K107" s="1">
        <f t="shared" si="89"/>
        <v>1042</v>
      </c>
      <c r="L107" s="1">
        <f t="shared" si="89"/>
        <v>360</v>
      </c>
      <c r="M107" s="1">
        <f t="shared" si="89"/>
        <v>866</v>
      </c>
      <c r="N107" s="94" t="e">
        <f>#REF!</f>
        <v>#REF!</v>
      </c>
      <c r="O107" s="1"/>
      <c r="P107" s="1"/>
      <c r="Q107" s="1"/>
      <c r="R107" s="1"/>
      <c r="S107" s="1"/>
      <c r="T107" s="1"/>
    </row>
    <row r="108" spans="1:37" ht="18.75" hidden="1" customHeight="1">
      <c r="A108" s="2"/>
      <c r="B108" s="1" t="s">
        <v>245</v>
      </c>
      <c r="C108" s="1">
        <v>0</v>
      </c>
      <c r="D108" s="1">
        <v>0</v>
      </c>
      <c r="E108" s="1">
        <v>0</v>
      </c>
      <c r="F108" s="1">
        <v>0</v>
      </c>
      <c r="G108" s="1">
        <v>0</v>
      </c>
      <c r="H108" s="1">
        <v>0</v>
      </c>
      <c r="I108" s="1">
        <v>0</v>
      </c>
      <c r="J108" s="1">
        <v>0</v>
      </c>
      <c r="K108" s="1">
        <v>0</v>
      </c>
      <c r="L108" s="1">
        <v>0</v>
      </c>
      <c r="M108" s="1">
        <v>0</v>
      </c>
      <c r="N108" s="96" t="e">
        <f>#REF!</f>
        <v>#REF!</v>
      </c>
      <c r="O108" s="1"/>
      <c r="P108" s="1"/>
      <c r="Q108" s="1"/>
      <c r="R108" s="1"/>
      <c r="S108" s="1"/>
      <c r="T108" s="1"/>
    </row>
    <row r="109" spans="1:37" ht="18.75" hidden="1" customHeight="1">
      <c r="A109" s="2"/>
      <c r="B109" s="1" t="s">
        <v>246</v>
      </c>
      <c r="C109" s="1">
        <v>0</v>
      </c>
      <c r="D109" s="1">
        <v>0</v>
      </c>
      <c r="E109" s="1">
        <v>0</v>
      </c>
      <c r="F109" s="1">
        <v>0</v>
      </c>
      <c r="G109" s="1">
        <v>0</v>
      </c>
      <c r="H109" s="1">
        <v>0</v>
      </c>
      <c r="I109" s="1">
        <v>0</v>
      </c>
      <c r="J109" s="1">
        <v>0</v>
      </c>
      <c r="K109" s="1">
        <v>0</v>
      </c>
      <c r="L109" s="1">
        <v>0</v>
      </c>
      <c r="M109" s="1">
        <v>0</v>
      </c>
      <c r="N109" s="95" t="e">
        <f>#REF!</f>
        <v>#REF!</v>
      </c>
      <c r="O109" s="1"/>
      <c r="P109" s="1"/>
      <c r="Q109" s="1"/>
      <c r="R109" s="1"/>
      <c r="S109" s="1"/>
      <c r="T109" s="1"/>
    </row>
    <row r="110" spans="1:37" ht="18.75" hidden="1" customHeight="1">
      <c r="A110" s="2"/>
      <c r="B110" s="1" t="s">
        <v>247</v>
      </c>
      <c r="C110" s="1">
        <v>0</v>
      </c>
      <c r="D110" s="1">
        <v>0</v>
      </c>
      <c r="E110" s="1">
        <v>0</v>
      </c>
      <c r="F110" s="1">
        <v>0</v>
      </c>
      <c r="G110" s="1">
        <v>0</v>
      </c>
      <c r="H110" s="1">
        <v>0</v>
      </c>
      <c r="I110" s="1">
        <v>0</v>
      </c>
      <c r="J110" s="1">
        <v>0</v>
      </c>
      <c r="K110" s="1">
        <v>0</v>
      </c>
      <c r="L110" s="1">
        <v>0</v>
      </c>
      <c r="M110" s="1">
        <v>0</v>
      </c>
      <c r="N110" s="1"/>
      <c r="O110" s="1"/>
      <c r="P110" s="1"/>
      <c r="Q110" s="1"/>
      <c r="R110" s="1"/>
      <c r="S110" s="1"/>
      <c r="T110" s="1"/>
    </row>
    <row r="111" spans="1:37" ht="18.75" hidden="1" customHeight="1">
      <c r="A111" s="2"/>
      <c r="B111" s="1" t="s">
        <v>248</v>
      </c>
      <c r="C111" s="1">
        <v>0</v>
      </c>
      <c r="D111" s="1">
        <v>0</v>
      </c>
      <c r="E111" s="1">
        <v>0</v>
      </c>
      <c r="F111" s="1">
        <v>0</v>
      </c>
      <c r="G111" s="1">
        <v>0</v>
      </c>
      <c r="H111" s="1">
        <v>0</v>
      </c>
      <c r="I111" s="1">
        <v>0</v>
      </c>
      <c r="J111" s="1">
        <v>0</v>
      </c>
      <c r="K111" s="1">
        <v>0</v>
      </c>
      <c r="L111" s="1">
        <v>0</v>
      </c>
      <c r="M111" s="1">
        <v>0</v>
      </c>
      <c r="N111" s="1"/>
      <c r="O111" s="1"/>
      <c r="P111" s="1"/>
      <c r="Q111" s="1"/>
      <c r="R111" s="1"/>
      <c r="S111" s="1"/>
      <c r="T111" s="1"/>
    </row>
    <row r="112" spans="1:37" ht="18.75" hidden="1" customHeight="1">
      <c r="A112" s="2"/>
      <c r="B112" s="1" t="s">
        <v>249</v>
      </c>
      <c r="C112" s="1">
        <v>0</v>
      </c>
      <c r="D112" s="1">
        <v>0</v>
      </c>
      <c r="E112" s="1">
        <v>0</v>
      </c>
      <c r="F112" s="1">
        <v>0</v>
      </c>
      <c r="G112" s="1">
        <v>0</v>
      </c>
      <c r="H112" s="1">
        <v>0</v>
      </c>
      <c r="I112" s="1">
        <v>0</v>
      </c>
      <c r="J112" s="1">
        <v>0</v>
      </c>
      <c r="K112" s="1">
        <v>0</v>
      </c>
      <c r="L112" s="1">
        <v>0</v>
      </c>
      <c r="M112" s="1">
        <v>0</v>
      </c>
      <c r="N112" s="1"/>
      <c r="O112" s="1"/>
      <c r="P112" s="1"/>
      <c r="Q112" s="1"/>
      <c r="R112" s="1"/>
      <c r="S112" s="1"/>
      <c r="T112" s="1"/>
    </row>
    <row r="113" spans="1:20" ht="18.75" hidden="1" customHeight="1">
      <c r="A113" s="2"/>
      <c r="B113" s="1" t="s">
        <v>250</v>
      </c>
      <c r="C113" s="1">
        <v>0</v>
      </c>
      <c r="D113" s="1">
        <v>0</v>
      </c>
      <c r="E113" s="1">
        <v>0</v>
      </c>
      <c r="F113" s="1">
        <v>0</v>
      </c>
      <c r="G113" s="1">
        <v>0</v>
      </c>
      <c r="H113" s="1">
        <v>0</v>
      </c>
      <c r="I113" s="1">
        <v>0</v>
      </c>
      <c r="J113" s="1">
        <v>0</v>
      </c>
      <c r="K113" s="1">
        <v>0</v>
      </c>
      <c r="L113" s="1">
        <v>0</v>
      </c>
      <c r="M113" s="1">
        <v>0</v>
      </c>
      <c r="N113" s="1"/>
      <c r="O113" s="1"/>
      <c r="P113" s="1"/>
      <c r="Q113" s="1"/>
      <c r="R113" s="1"/>
      <c r="S113" s="1"/>
      <c r="T113" s="1"/>
    </row>
    <row r="114" spans="1:20" ht="18.75" hidden="1" customHeight="1">
      <c r="A114" s="2"/>
      <c r="B114" s="12" t="s">
        <v>251</v>
      </c>
      <c r="C114" s="12">
        <v>0</v>
      </c>
      <c r="D114" s="12">
        <v>0</v>
      </c>
      <c r="E114" s="12">
        <v>0</v>
      </c>
      <c r="F114" s="12">
        <v>0</v>
      </c>
      <c r="G114" s="12">
        <v>0</v>
      </c>
      <c r="H114" s="12">
        <v>0</v>
      </c>
      <c r="I114" s="12">
        <v>0</v>
      </c>
      <c r="J114" s="12">
        <v>0</v>
      </c>
      <c r="K114" s="12">
        <v>0</v>
      </c>
      <c r="L114" s="12">
        <v>0</v>
      </c>
      <c r="M114" s="12">
        <v>0</v>
      </c>
      <c r="N114" s="1"/>
      <c r="O114" s="1"/>
      <c r="P114" s="1"/>
      <c r="Q114" s="1"/>
      <c r="R114" s="1"/>
      <c r="S114" s="1"/>
      <c r="T114" s="1"/>
    </row>
    <row r="115" spans="1:20" ht="18.75" hidden="1" customHeight="1">
      <c r="A115" s="2"/>
      <c r="B115" s="1" t="s">
        <v>252</v>
      </c>
      <c r="C115" s="1">
        <f t="shared" ref="C115:M115" si="90">C$105</f>
        <v>360</v>
      </c>
      <c r="D115" s="1">
        <f t="shared" si="90"/>
        <v>360</v>
      </c>
      <c r="E115" s="1">
        <f t="shared" si="90"/>
        <v>580</v>
      </c>
      <c r="F115" s="1">
        <f t="shared" si="90"/>
        <v>360</v>
      </c>
      <c r="G115" s="1">
        <f t="shared" si="90"/>
        <v>360</v>
      </c>
      <c r="H115" s="1">
        <f t="shared" si="90"/>
        <v>1680</v>
      </c>
      <c r="I115" s="1">
        <f t="shared" si="90"/>
        <v>360</v>
      </c>
      <c r="J115" s="1">
        <f t="shared" si="90"/>
        <v>360</v>
      </c>
      <c r="K115" s="1">
        <f t="shared" si="90"/>
        <v>1042</v>
      </c>
      <c r="L115" s="1">
        <f t="shared" si="90"/>
        <v>360</v>
      </c>
      <c r="M115" s="1">
        <f t="shared" si="90"/>
        <v>866</v>
      </c>
      <c r="N115" s="1"/>
      <c r="O115" s="1"/>
      <c r="P115" s="1"/>
      <c r="Q115" s="1"/>
      <c r="R115" s="1"/>
      <c r="S115" s="1"/>
      <c r="T115" s="1"/>
    </row>
    <row r="116" spans="1:20" ht="18.75" hidden="1" customHeight="1">
      <c r="A116" s="2"/>
      <c r="B116" s="1" t="s">
        <v>253</v>
      </c>
      <c r="C116" s="1">
        <f t="shared" ref="C116:M116" si="91">C$105+NPV($J$2,C106)</f>
        <v>706.15384615384619</v>
      </c>
      <c r="D116" s="1">
        <f t="shared" si="91"/>
        <v>706.15384615384619</v>
      </c>
      <c r="E116" s="1">
        <f t="shared" si="91"/>
        <v>1137.6923076923076</v>
      </c>
      <c r="F116" s="1">
        <f t="shared" si="91"/>
        <v>706.15384615384619</v>
      </c>
      <c r="G116" s="1">
        <f t="shared" si="91"/>
        <v>706.15384615384619</v>
      </c>
      <c r="H116" s="1">
        <f t="shared" si="91"/>
        <v>3295.3846153846152</v>
      </c>
      <c r="I116" s="1">
        <f t="shared" si="91"/>
        <v>706.15384615384619</v>
      </c>
      <c r="J116" s="1">
        <f t="shared" si="91"/>
        <v>706.15384615384619</v>
      </c>
      <c r="K116" s="1">
        <f t="shared" si="91"/>
        <v>2043.9230769230769</v>
      </c>
      <c r="L116" s="1">
        <f t="shared" ref="L116" si="92">L$105+NPV($J$2,L106)</f>
        <v>706.15384615384619</v>
      </c>
      <c r="M116" s="1">
        <f t="shared" si="91"/>
        <v>1698.6923076923076</v>
      </c>
      <c r="N116" s="1"/>
      <c r="O116" s="1"/>
      <c r="P116" s="1"/>
      <c r="Q116" s="1"/>
      <c r="R116" s="1"/>
      <c r="S116" s="1"/>
      <c r="T116" s="1"/>
    </row>
    <row r="117" spans="1:20" ht="18.75" hidden="1" customHeight="1">
      <c r="A117" s="2"/>
      <c r="B117" s="1" t="s">
        <v>254</v>
      </c>
      <c r="C117" s="1">
        <f t="shared" ref="C117:M117" si="93">C$105+NPV($J$2,C106:C107)</f>
        <v>1038.9940828402368</v>
      </c>
      <c r="D117" s="1">
        <f t="shared" si="93"/>
        <v>1038.9940828402368</v>
      </c>
      <c r="E117" s="1">
        <f t="shared" si="93"/>
        <v>1673.9349112426034</v>
      </c>
      <c r="F117" s="1">
        <f t="shared" si="93"/>
        <v>1038.9940828402368</v>
      </c>
      <c r="G117" s="1">
        <f t="shared" si="93"/>
        <v>1038.9940828402368</v>
      </c>
      <c r="H117" s="1">
        <f t="shared" si="93"/>
        <v>4848.6390532544374</v>
      </c>
      <c r="I117" s="1">
        <f t="shared" si="93"/>
        <v>1038.9940828402368</v>
      </c>
      <c r="J117" s="1">
        <f t="shared" si="93"/>
        <v>1038.9940828402368</v>
      </c>
      <c r="K117" s="1">
        <f t="shared" si="93"/>
        <v>3007.310650887574</v>
      </c>
      <c r="L117" s="1">
        <f t="shared" ref="L117" si="94">L$105+NPV($J$2,L106:L107)</f>
        <v>1038.9940828402368</v>
      </c>
      <c r="M117" s="1">
        <f t="shared" si="93"/>
        <v>2499.3579881656806</v>
      </c>
      <c r="N117" s="1"/>
      <c r="O117" s="1"/>
      <c r="P117" s="1"/>
      <c r="Q117" s="1"/>
      <c r="R117" s="1"/>
      <c r="S117" s="1"/>
      <c r="T117" s="1"/>
    </row>
    <row r="118" spans="1:20" ht="18.75" hidden="1" customHeight="1">
      <c r="A118" s="2"/>
      <c r="B118" s="1" t="s">
        <v>255</v>
      </c>
      <c r="C118" s="1">
        <f t="shared" ref="C118:M124" si="95">C$117</f>
        <v>1038.9940828402368</v>
      </c>
      <c r="D118" s="1">
        <f t="shared" si="95"/>
        <v>1038.9940828402368</v>
      </c>
      <c r="E118" s="1">
        <f t="shared" si="95"/>
        <v>1673.9349112426034</v>
      </c>
      <c r="F118" s="1">
        <f t="shared" si="95"/>
        <v>1038.9940828402368</v>
      </c>
      <c r="G118" s="1">
        <f t="shared" si="95"/>
        <v>1038.9940828402368</v>
      </c>
      <c r="H118" s="1">
        <f t="shared" si="95"/>
        <v>4848.6390532544374</v>
      </c>
      <c r="I118" s="1">
        <f t="shared" si="95"/>
        <v>1038.9940828402368</v>
      </c>
      <c r="J118" s="1">
        <f t="shared" si="95"/>
        <v>1038.9940828402368</v>
      </c>
      <c r="K118" s="1">
        <f t="shared" si="95"/>
        <v>3007.310650887574</v>
      </c>
      <c r="L118" s="1">
        <f t="shared" si="95"/>
        <v>1038.9940828402368</v>
      </c>
      <c r="M118" s="1">
        <f t="shared" si="95"/>
        <v>2499.3579881656806</v>
      </c>
      <c r="N118" s="1"/>
      <c r="O118" s="1"/>
      <c r="P118" s="1"/>
      <c r="Q118" s="1"/>
      <c r="R118" s="1"/>
      <c r="S118" s="1"/>
      <c r="T118" s="1"/>
    </row>
    <row r="119" spans="1:20" ht="18.75" hidden="1" customHeight="1">
      <c r="A119" s="2"/>
      <c r="B119" s="1" t="s">
        <v>256</v>
      </c>
      <c r="C119" s="1">
        <f t="shared" si="95"/>
        <v>1038.9940828402368</v>
      </c>
      <c r="D119" s="1">
        <f t="shared" si="95"/>
        <v>1038.9940828402368</v>
      </c>
      <c r="E119" s="1">
        <f t="shared" si="95"/>
        <v>1673.9349112426034</v>
      </c>
      <c r="F119" s="1">
        <f t="shared" si="95"/>
        <v>1038.9940828402368</v>
      </c>
      <c r="G119" s="1">
        <f t="shared" si="95"/>
        <v>1038.9940828402368</v>
      </c>
      <c r="H119" s="1">
        <f t="shared" si="95"/>
        <v>4848.6390532544374</v>
      </c>
      <c r="I119" s="1">
        <f t="shared" si="95"/>
        <v>1038.9940828402368</v>
      </c>
      <c r="J119" s="1">
        <f t="shared" si="95"/>
        <v>1038.9940828402368</v>
      </c>
      <c r="K119" s="1">
        <f t="shared" si="95"/>
        <v>3007.310650887574</v>
      </c>
      <c r="L119" s="1">
        <f t="shared" si="95"/>
        <v>1038.9940828402368</v>
      </c>
      <c r="M119" s="1">
        <f t="shared" si="95"/>
        <v>2499.3579881656806</v>
      </c>
      <c r="N119" s="1"/>
      <c r="O119" s="1"/>
      <c r="P119" s="1"/>
      <c r="Q119" s="1"/>
      <c r="R119" s="1"/>
      <c r="S119" s="1"/>
      <c r="T119" s="1"/>
    </row>
    <row r="120" spans="1:20" ht="18.75" hidden="1" customHeight="1">
      <c r="A120" s="2"/>
      <c r="B120" s="1" t="s">
        <v>257</v>
      </c>
      <c r="C120" s="1">
        <f t="shared" si="95"/>
        <v>1038.9940828402368</v>
      </c>
      <c r="D120" s="1">
        <f t="shared" si="95"/>
        <v>1038.9940828402368</v>
      </c>
      <c r="E120" s="1">
        <f t="shared" si="95"/>
        <v>1673.9349112426034</v>
      </c>
      <c r="F120" s="1">
        <f t="shared" si="95"/>
        <v>1038.9940828402368</v>
      </c>
      <c r="G120" s="1">
        <f t="shared" si="95"/>
        <v>1038.9940828402368</v>
      </c>
      <c r="H120" s="1">
        <f t="shared" si="95"/>
        <v>4848.6390532544374</v>
      </c>
      <c r="I120" s="1">
        <f t="shared" si="95"/>
        <v>1038.9940828402368</v>
      </c>
      <c r="J120" s="1">
        <f t="shared" si="95"/>
        <v>1038.9940828402368</v>
      </c>
      <c r="K120" s="1">
        <f t="shared" si="95"/>
        <v>3007.310650887574</v>
      </c>
      <c r="L120" s="1">
        <f t="shared" si="95"/>
        <v>1038.9940828402368</v>
      </c>
      <c r="M120" s="1">
        <f t="shared" si="95"/>
        <v>2499.3579881656806</v>
      </c>
      <c r="N120" s="1"/>
      <c r="O120" s="1"/>
      <c r="P120" s="1"/>
      <c r="Q120" s="1"/>
      <c r="R120" s="1"/>
      <c r="S120" s="1"/>
      <c r="T120" s="1"/>
    </row>
    <row r="121" spans="1:20" ht="18.75" hidden="1" customHeight="1">
      <c r="A121" s="2"/>
      <c r="B121" s="1" t="s">
        <v>258</v>
      </c>
      <c r="C121" s="1">
        <f t="shared" si="95"/>
        <v>1038.9940828402368</v>
      </c>
      <c r="D121" s="1">
        <f t="shared" si="95"/>
        <v>1038.9940828402368</v>
      </c>
      <c r="E121" s="1">
        <f t="shared" si="95"/>
        <v>1673.9349112426034</v>
      </c>
      <c r="F121" s="1">
        <f t="shared" si="95"/>
        <v>1038.9940828402368</v>
      </c>
      <c r="G121" s="1">
        <f t="shared" si="95"/>
        <v>1038.9940828402368</v>
      </c>
      <c r="H121" s="1">
        <f t="shared" si="95"/>
        <v>4848.6390532544374</v>
      </c>
      <c r="I121" s="1">
        <f t="shared" si="95"/>
        <v>1038.9940828402368</v>
      </c>
      <c r="J121" s="1">
        <f t="shared" si="95"/>
        <v>1038.9940828402368</v>
      </c>
      <c r="K121" s="1">
        <f t="shared" si="95"/>
        <v>3007.310650887574</v>
      </c>
      <c r="L121" s="1">
        <f t="shared" si="95"/>
        <v>1038.9940828402368</v>
      </c>
      <c r="M121" s="1">
        <f t="shared" si="95"/>
        <v>2499.3579881656806</v>
      </c>
      <c r="N121" s="1"/>
      <c r="O121" s="1"/>
      <c r="P121" s="1"/>
      <c r="Q121" s="1"/>
      <c r="R121" s="1"/>
      <c r="S121" s="1"/>
      <c r="T121" s="1"/>
    </row>
    <row r="122" spans="1:20" ht="18.75" hidden="1" customHeight="1">
      <c r="A122" s="2"/>
      <c r="B122" s="1" t="s">
        <v>259</v>
      </c>
      <c r="C122" s="1">
        <f t="shared" si="95"/>
        <v>1038.9940828402368</v>
      </c>
      <c r="D122" s="1">
        <f t="shared" si="95"/>
        <v>1038.9940828402368</v>
      </c>
      <c r="E122" s="1">
        <f t="shared" si="95"/>
        <v>1673.9349112426034</v>
      </c>
      <c r="F122" s="1">
        <f t="shared" si="95"/>
        <v>1038.9940828402368</v>
      </c>
      <c r="G122" s="1">
        <f t="shared" si="95"/>
        <v>1038.9940828402368</v>
      </c>
      <c r="H122" s="1">
        <f t="shared" si="95"/>
        <v>4848.6390532544374</v>
      </c>
      <c r="I122" s="1">
        <f t="shared" si="95"/>
        <v>1038.9940828402368</v>
      </c>
      <c r="J122" s="1">
        <f t="shared" si="95"/>
        <v>1038.9940828402368</v>
      </c>
      <c r="K122" s="1">
        <f t="shared" si="95"/>
        <v>3007.310650887574</v>
      </c>
      <c r="L122" s="1">
        <f t="shared" si="95"/>
        <v>1038.9940828402368</v>
      </c>
      <c r="M122" s="1">
        <f t="shared" si="95"/>
        <v>2499.3579881656806</v>
      </c>
      <c r="N122" s="1"/>
      <c r="O122" s="1"/>
      <c r="P122" s="1"/>
      <c r="Q122" s="1"/>
      <c r="R122" s="1"/>
      <c r="S122" s="1"/>
      <c r="T122" s="1"/>
    </row>
    <row r="123" spans="1:20" ht="18.75" hidden="1" customHeight="1">
      <c r="A123" s="2"/>
      <c r="B123" s="1" t="s">
        <v>260</v>
      </c>
      <c r="C123" s="1">
        <f t="shared" si="95"/>
        <v>1038.9940828402368</v>
      </c>
      <c r="D123" s="1">
        <f t="shared" si="95"/>
        <v>1038.9940828402368</v>
      </c>
      <c r="E123" s="1">
        <f t="shared" si="95"/>
        <v>1673.9349112426034</v>
      </c>
      <c r="F123" s="1">
        <f t="shared" si="95"/>
        <v>1038.9940828402368</v>
      </c>
      <c r="G123" s="1">
        <f t="shared" si="95"/>
        <v>1038.9940828402368</v>
      </c>
      <c r="H123" s="1">
        <f t="shared" si="95"/>
        <v>4848.6390532544374</v>
      </c>
      <c r="I123" s="1">
        <f t="shared" si="95"/>
        <v>1038.9940828402368</v>
      </c>
      <c r="J123" s="1">
        <f t="shared" si="95"/>
        <v>1038.9940828402368</v>
      </c>
      <c r="K123" s="1">
        <f t="shared" si="95"/>
        <v>3007.310650887574</v>
      </c>
      <c r="L123" s="1">
        <f t="shared" si="95"/>
        <v>1038.9940828402368</v>
      </c>
      <c r="M123" s="1">
        <f t="shared" si="95"/>
        <v>2499.3579881656806</v>
      </c>
      <c r="N123" s="1"/>
      <c r="O123" s="1"/>
      <c r="P123" s="1"/>
      <c r="Q123" s="1"/>
      <c r="R123" s="1"/>
      <c r="S123" s="1"/>
      <c r="T123" s="1"/>
    </row>
    <row r="124" spans="1:20" ht="18.75" hidden="1" customHeight="1">
      <c r="A124" s="2"/>
      <c r="B124" s="12" t="s">
        <v>261</v>
      </c>
      <c r="C124" s="12">
        <f t="shared" si="95"/>
        <v>1038.9940828402368</v>
      </c>
      <c r="D124" s="12">
        <f t="shared" si="95"/>
        <v>1038.9940828402368</v>
      </c>
      <c r="E124" s="12">
        <f t="shared" si="95"/>
        <v>1673.9349112426034</v>
      </c>
      <c r="F124" s="12">
        <f t="shared" si="95"/>
        <v>1038.9940828402368</v>
      </c>
      <c r="G124" s="12">
        <f t="shared" si="95"/>
        <v>1038.9940828402368</v>
      </c>
      <c r="H124" s="12">
        <f t="shared" si="95"/>
        <v>4848.6390532544374</v>
      </c>
      <c r="I124" s="12">
        <f t="shared" si="95"/>
        <v>1038.9940828402368</v>
      </c>
      <c r="J124" s="12">
        <f t="shared" si="95"/>
        <v>1038.9940828402368</v>
      </c>
      <c r="K124" s="12">
        <f t="shared" si="95"/>
        <v>3007.310650887574</v>
      </c>
      <c r="L124" s="12">
        <f t="shared" si="95"/>
        <v>1038.9940828402368</v>
      </c>
      <c r="M124" s="12">
        <f t="shared" si="95"/>
        <v>2499.3579881656806</v>
      </c>
      <c r="N124" s="1"/>
      <c r="O124" s="1"/>
      <c r="P124" s="1"/>
      <c r="Q124" s="1"/>
      <c r="R124" s="1"/>
      <c r="S124" s="1"/>
      <c r="T124" s="1"/>
    </row>
    <row r="125" spans="1:20" ht="18.75" hidden="1" customHeight="1">
      <c r="A125" s="2"/>
      <c r="B125" s="1" t="s">
        <v>262</v>
      </c>
      <c r="C125" s="1">
        <f t="shared" ref="C125:M125" si="96">(C20+C21)</f>
        <v>8500</v>
      </c>
      <c r="D125" s="1">
        <f t="shared" si="96"/>
        <v>8500</v>
      </c>
      <c r="E125" s="1">
        <f t="shared" si="96"/>
        <v>9500</v>
      </c>
      <c r="F125" s="1">
        <f t="shared" si="96"/>
        <v>13000</v>
      </c>
      <c r="G125" s="1">
        <f t="shared" si="96"/>
        <v>13000</v>
      </c>
      <c r="H125" s="1">
        <f t="shared" si="96"/>
        <v>10500</v>
      </c>
      <c r="I125" s="1">
        <f t="shared" si="96"/>
        <v>10000</v>
      </c>
      <c r="J125" s="1">
        <f t="shared" si="96"/>
        <v>10000</v>
      </c>
      <c r="K125" s="1">
        <f t="shared" si="96"/>
        <v>11000</v>
      </c>
      <c r="L125" s="1">
        <f t="shared" ref="L125" si="97">(L20+L21)</f>
        <v>11000</v>
      </c>
      <c r="M125" s="1">
        <f t="shared" si="96"/>
        <v>11000</v>
      </c>
      <c r="N125" s="1"/>
      <c r="O125" s="1"/>
      <c r="P125" s="1"/>
      <c r="Q125" s="1"/>
      <c r="R125" s="1"/>
      <c r="S125" s="1"/>
      <c r="T125" s="1"/>
    </row>
    <row r="126" spans="1:20" ht="18.75" hidden="1" customHeight="1">
      <c r="A126" s="2"/>
      <c r="B126" s="1" t="s">
        <v>263</v>
      </c>
      <c r="C126" s="1">
        <f t="shared" ref="C126:M135" si="98">C$125</f>
        <v>8500</v>
      </c>
      <c r="D126" s="1">
        <f t="shared" si="98"/>
        <v>8500</v>
      </c>
      <c r="E126" s="1">
        <f t="shared" si="98"/>
        <v>9500</v>
      </c>
      <c r="F126" s="1">
        <f t="shared" si="98"/>
        <v>13000</v>
      </c>
      <c r="G126" s="1">
        <f t="shared" si="98"/>
        <v>13000</v>
      </c>
      <c r="H126" s="1">
        <f t="shared" si="98"/>
        <v>10500</v>
      </c>
      <c r="I126" s="1">
        <f t="shared" si="98"/>
        <v>10000</v>
      </c>
      <c r="J126" s="1">
        <f t="shared" si="98"/>
        <v>10000</v>
      </c>
      <c r="K126" s="1">
        <f t="shared" si="98"/>
        <v>11000</v>
      </c>
      <c r="L126" s="1">
        <f t="shared" si="98"/>
        <v>11000</v>
      </c>
      <c r="M126" s="1">
        <f t="shared" si="98"/>
        <v>11000</v>
      </c>
      <c r="N126" s="1"/>
      <c r="O126" s="1"/>
      <c r="P126" s="1"/>
      <c r="Q126" s="1"/>
      <c r="R126" s="1"/>
      <c r="S126" s="1"/>
      <c r="T126" s="1"/>
    </row>
    <row r="127" spans="1:20" ht="18.75" hidden="1" customHeight="1">
      <c r="A127" s="2"/>
      <c r="B127" s="1" t="s">
        <v>264</v>
      </c>
      <c r="C127" s="1">
        <f t="shared" si="98"/>
        <v>8500</v>
      </c>
      <c r="D127" s="1">
        <f t="shared" si="98"/>
        <v>8500</v>
      </c>
      <c r="E127" s="1">
        <f t="shared" si="98"/>
        <v>9500</v>
      </c>
      <c r="F127" s="1">
        <f t="shared" si="98"/>
        <v>13000</v>
      </c>
      <c r="G127" s="1">
        <f t="shared" si="98"/>
        <v>13000</v>
      </c>
      <c r="H127" s="1">
        <f t="shared" si="98"/>
        <v>10500</v>
      </c>
      <c r="I127" s="1">
        <f t="shared" si="98"/>
        <v>10000</v>
      </c>
      <c r="J127" s="1">
        <f t="shared" si="98"/>
        <v>10000</v>
      </c>
      <c r="K127" s="1">
        <f t="shared" si="98"/>
        <v>11000</v>
      </c>
      <c r="L127" s="1">
        <f t="shared" si="98"/>
        <v>11000</v>
      </c>
      <c r="M127" s="1">
        <f t="shared" si="98"/>
        <v>11000</v>
      </c>
      <c r="N127" s="1"/>
      <c r="O127" s="1"/>
      <c r="P127" s="1"/>
      <c r="Q127" s="1"/>
      <c r="R127" s="1"/>
      <c r="S127" s="1"/>
      <c r="T127" s="1"/>
    </row>
    <row r="128" spans="1:20" ht="18.75" hidden="1" customHeight="1">
      <c r="A128" s="2"/>
      <c r="B128" s="1" t="s">
        <v>265</v>
      </c>
      <c r="C128" s="1">
        <f t="shared" si="98"/>
        <v>8500</v>
      </c>
      <c r="D128" s="1">
        <f t="shared" si="98"/>
        <v>8500</v>
      </c>
      <c r="E128" s="1">
        <f t="shared" si="98"/>
        <v>9500</v>
      </c>
      <c r="F128" s="1">
        <f t="shared" si="98"/>
        <v>13000</v>
      </c>
      <c r="G128" s="1">
        <f t="shared" si="98"/>
        <v>13000</v>
      </c>
      <c r="H128" s="1">
        <f t="shared" si="98"/>
        <v>10500</v>
      </c>
      <c r="I128" s="1">
        <f t="shared" si="98"/>
        <v>10000</v>
      </c>
      <c r="J128" s="1">
        <f t="shared" si="98"/>
        <v>10000</v>
      </c>
      <c r="K128" s="1">
        <f t="shared" si="98"/>
        <v>11000</v>
      </c>
      <c r="L128" s="1">
        <f t="shared" si="98"/>
        <v>11000</v>
      </c>
      <c r="M128" s="1">
        <f t="shared" si="98"/>
        <v>11000</v>
      </c>
      <c r="N128" s="1"/>
      <c r="O128" s="1"/>
      <c r="P128" s="1"/>
      <c r="Q128" s="1"/>
      <c r="R128" s="1"/>
      <c r="S128" s="1"/>
      <c r="T128" s="1"/>
    </row>
    <row r="129" spans="1:20" ht="18.75" hidden="1" customHeight="1">
      <c r="A129" s="2"/>
      <c r="B129" s="1" t="s">
        <v>266</v>
      </c>
      <c r="C129" s="1">
        <f t="shared" si="98"/>
        <v>8500</v>
      </c>
      <c r="D129" s="1">
        <f t="shared" si="98"/>
        <v>8500</v>
      </c>
      <c r="E129" s="1">
        <f t="shared" si="98"/>
        <v>9500</v>
      </c>
      <c r="F129" s="1">
        <f t="shared" si="98"/>
        <v>13000</v>
      </c>
      <c r="G129" s="1">
        <f t="shared" si="98"/>
        <v>13000</v>
      </c>
      <c r="H129" s="1">
        <f t="shared" si="98"/>
        <v>10500</v>
      </c>
      <c r="I129" s="1">
        <f t="shared" si="98"/>
        <v>10000</v>
      </c>
      <c r="J129" s="1">
        <f t="shared" si="98"/>
        <v>10000</v>
      </c>
      <c r="K129" s="1">
        <f t="shared" si="98"/>
        <v>11000</v>
      </c>
      <c r="L129" s="1">
        <f t="shared" si="98"/>
        <v>11000</v>
      </c>
      <c r="M129" s="1">
        <f t="shared" si="98"/>
        <v>11000</v>
      </c>
      <c r="N129" s="1"/>
      <c r="O129" s="1"/>
      <c r="P129" s="1"/>
      <c r="Q129" s="1"/>
      <c r="R129" s="1"/>
      <c r="S129" s="1"/>
      <c r="T129" s="1"/>
    </row>
    <row r="130" spans="1:20" ht="18.75" hidden="1" customHeight="1">
      <c r="A130" s="2"/>
      <c r="B130" s="1" t="s">
        <v>267</v>
      </c>
      <c r="C130" s="1">
        <f t="shared" si="98"/>
        <v>8500</v>
      </c>
      <c r="D130" s="1">
        <f t="shared" si="98"/>
        <v>8500</v>
      </c>
      <c r="E130" s="1">
        <f t="shared" si="98"/>
        <v>9500</v>
      </c>
      <c r="F130" s="1">
        <f t="shared" si="98"/>
        <v>13000</v>
      </c>
      <c r="G130" s="1">
        <f t="shared" si="98"/>
        <v>13000</v>
      </c>
      <c r="H130" s="1">
        <f t="shared" si="98"/>
        <v>10500</v>
      </c>
      <c r="I130" s="1">
        <f t="shared" si="98"/>
        <v>10000</v>
      </c>
      <c r="J130" s="1">
        <f t="shared" si="98"/>
        <v>10000</v>
      </c>
      <c r="K130" s="1">
        <f t="shared" si="98"/>
        <v>11000</v>
      </c>
      <c r="L130" s="1">
        <f t="shared" si="98"/>
        <v>11000</v>
      </c>
      <c r="M130" s="1">
        <f t="shared" si="98"/>
        <v>11000</v>
      </c>
      <c r="N130" s="1"/>
      <c r="O130" s="1"/>
      <c r="P130" s="1"/>
      <c r="Q130" s="1"/>
      <c r="R130" s="1"/>
      <c r="S130" s="1"/>
      <c r="T130" s="1"/>
    </row>
    <row r="131" spans="1:20" ht="18.75" hidden="1" customHeight="1">
      <c r="A131" s="2"/>
      <c r="B131" s="1" t="s">
        <v>268</v>
      </c>
      <c r="C131" s="1">
        <f t="shared" si="98"/>
        <v>8500</v>
      </c>
      <c r="D131" s="1">
        <f t="shared" si="98"/>
        <v>8500</v>
      </c>
      <c r="E131" s="1">
        <f t="shared" si="98"/>
        <v>9500</v>
      </c>
      <c r="F131" s="1">
        <f t="shared" si="98"/>
        <v>13000</v>
      </c>
      <c r="G131" s="1">
        <f t="shared" si="98"/>
        <v>13000</v>
      </c>
      <c r="H131" s="1">
        <f t="shared" si="98"/>
        <v>10500</v>
      </c>
      <c r="I131" s="1">
        <f t="shared" si="98"/>
        <v>10000</v>
      </c>
      <c r="J131" s="1">
        <f t="shared" si="98"/>
        <v>10000</v>
      </c>
      <c r="K131" s="1">
        <f t="shared" si="98"/>
        <v>11000</v>
      </c>
      <c r="L131" s="1">
        <f t="shared" si="98"/>
        <v>11000</v>
      </c>
      <c r="M131" s="1">
        <f t="shared" si="98"/>
        <v>11000</v>
      </c>
      <c r="N131" s="1"/>
      <c r="O131" s="1"/>
      <c r="P131" s="1"/>
      <c r="Q131" s="1"/>
      <c r="R131" s="1"/>
      <c r="S131" s="1"/>
      <c r="T131" s="1"/>
    </row>
    <row r="132" spans="1:20" ht="18.75" hidden="1" customHeight="1">
      <c r="A132" s="2"/>
      <c r="B132" s="1" t="s">
        <v>269</v>
      </c>
      <c r="C132" s="1">
        <f t="shared" si="98"/>
        <v>8500</v>
      </c>
      <c r="D132" s="1">
        <f t="shared" si="98"/>
        <v>8500</v>
      </c>
      <c r="E132" s="1">
        <f t="shared" si="98"/>
        <v>9500</v>
      </c>
      <c r="F132" s="1">
        <f t="shared" si="98"/>
        <v>13000</v>
      </c>
      <c r="G132" s="1">
        <f t="shared" si="98"/>
        <v>13000</v>
      </c>
      <c r="H132" s="1">
        <f t="shared" si="98"/>
        <v>10500</v>
      </c>
      <c r="I132" s="1">
        <f t="shared" si="98"/>
        <v>10000</v>
      </c>
      <c r="J132" s="1">
        <f t="shared" si="98"/>
        <v>10000</v>
      </c>
      <c r="K132" s="1">
        <f t="shared" si="98"/>
        <v>11000</v>
      </c>
      <c r="L132" s="1">
        <f t="shared" si="98"/>
        <v>11000</v>
      </c>
      <c r="M132" s="1">
        <f t="shared" si="98"/>
        <v>11000</v>
      </c>
      <c r="N132" s="1"/>
      <c r="O132" s="1"/>
      <c r="P132" s="1"/>
      <c r="Q132" s="1"/>
      <c r="R132" s="1"/>
      <c r="S132" s="1"/>
      <c r="T132" s="1"/>
    </row>
    <row r="133" spans="1:20" ht="18.75" hidden="1" customHeight="1">
      <c r="A133" s="2"/>
      <c r="B133" s="1" t="s">
        <v>270</v>
      </c>
      <c r="C133" s="1">
        <f t="shared" si="98"/>
        <v>8500</v>
      </c>
      <c r="D133" s="1">
        <f t="shared" si="98"/>
        <v>8500</v>
      </c>
      <c r="E133" s="1">
        <f t="shared" si="98"/>
        <v>9500</v>
      </c>
      <c r="F133" s="1">
        <f t="shared" si="98"/>
        <v>13000</v>
      </c>
      <c r="G133" s="1">
        <f t="shared" si="98"/>
        <v>13000</v>
      </c>
      <c r="H133" s="1">
        <f t="shared" si="98"/>
        <v>10500</v>
      </c>
      <c r="I133" s="1">
        <f t="shared" si="98"/>
        <v>10000</v>
      </c>
      <c r="J133" s="1">
        <f t="shared" si="98"/>
        <v>10000</v>
      </c>
      <c r="K133" s="1">
        <f t="shared" si="98"/>
        <v>11000</v>
      </c>
      <c r="L133" s="1">
        <f t="shared" si="98"/>
        <v>11000</v>
      </c>
      <c r="M133" s="1">
        <f t="shared" si="98"/>
        <v>11000</v>
      </c>
      <c r="N133" s="1"/>
      <c r="O133" s="1"/>
      <c r="P133" s="1"/>
      <c r="Q133" s="1"/>
      <c r="R133" s="1"/>
      <c r="S133" s="1"/>
      <c r="T133" s="1"/>
    </row>
    <row r="134" spans="1:20" ht="18.75" hidden="1" customHeight="1">
      <c r="A134" s="2"/>
      <c r="B134" s="12" t="s">
        <v>271</v>
      </c>
      <c r="C134" s="12">
        <f t="shared" si="98"/>
        <v>8500</v>
      </c>
      <c r="D134" s="12">
        <f t="shared" si="98"/>
        <v>8500</v>
      </c>
      <c r="E134" s="12">
        <f t="shared" si="98"/>
        <v>9500</v>
      </c>
      <c r="F134" s="12">
        <f t="shared" si="98"/>
        <v>13000</v>
      </c>
      <c r="G134" s="12">
        <f t="shared" si="98"/>
        <v>13000</v>
      </c>
      <c r="H134" s="12">
        <f t="shared" si="98"/>
        <v>10500</v>
      </c>
      <c r="I134" s="12">
        <f t="shared" si="98"/>
        <v>10000</v>
      </c>
      <c r="J134" s="12">
        <f t="shared" si="98"/>
        <v>10000</v>
      </c>
      <c r="K134" s="12">
        <f t="shared" si="98"/>
        <v>11000</v>
      </c>
      <c r="L134" s="12">
        <f t="shared" si="98"/>
        <v>11000</v>
      </c>
      <c r="M134" s="12">
        <f t="shared" si="98"/>
        <v>11000</v>
      </c>
      <c r="N134" s="1"/>
      <c r="O134" s="1"/>
      <c r="P134" s="1"/>
      <c r="Q134" s="1"/>
      <c r="R134" s="1"/>
      <c r="S134" s="1"/>
      <c r="T134" s="1"/>
    </row>
    <row r="135" spans="1:20" ht="18.75" hidden="1" customHeight="1">
      <c r="A135" s="2"/>
      <c r="B135" s="1" t="s">
        <v>272</v>
      </c>
      <c r="C135" s="4">
        <f t="shared" si="98"/>
        <v>8500</v>
      </c>
      <c r="D135" s="4">
        <f t="shared" si="98"/>
        <v>8500</v>
      </c>
      <c r="E135" s="4">
        <f t="shared" si="98"/>
        <v>9500</v>
      </c>
      <c r="F135" s="4">
        <f t="shared" si="98"/>
        <v>13000</v>
      </c>
      <c r="G135" s="4">
        <f t="shared" si="98"/>
        <v>13000</v>
      </c>
      <c r="H135" s="4">
        <f t="shared" si="98"/>
        <v>10500</v>
      </c>
      <c r="I135" s="4">
        <f t="shared" si="98"/>
        <v>10000</v>
      </c>
      <c r="J135" s="4">
        <f t="shared" si="98"/>
        <v>10000</v>
      </c>
      <c r="K135" s="4">
        <f t="shared" si="98"/>
        <v>11000</v>
      </c>
      <c r="L135" s="4">
        <f t="shared" si="98"/>
        <v>11000</v>
      </c>
      <c r="M135" s="4">
        <f t="shared" si="98"/>
        <v>11000</v>
      </c>
      <c r="N135" s="1"/>
      <c r="O135" s="1"/>
      <c r="P135" s="1"/>
      <c r="Q135" s="1"/>
      <c r="R135" s="1"/>
      <c r="S135" s="1"/>
      <c r="T135" s="1"/>
    </row>
    <row r="136" spans="1:20" ht="18.75" hidden="1" customHeight="1">
      <c r="A136" s="2"/>
      <c r="B136" s="1" t="s">
        <v>273</v>
      </c>
      <c r="C136" s="4">
        <f t="shared" ref="C136:M136" si="99">C$125+NPV($J$2,C126)</f>
        <v>16673.076923076922</v>
      </c>
      <c r="D136" s="4">
        <f t="shared" si="99"/>
        <v>16673.076923076922</v>
      </c>
      <c r="E136" s="4">
        <f t="shared" si="99"/>
        <v>18634.615384615383</v>
      </c>
      <c r="F136" s="4">
        <f t="shared" si="99"/>
        <v>25500</v>
      </c>
      <c r="G136" s="4">
        <f t="shared" si="99"/>
        <v>25500</v>
      </c>
      <c r="H136" s="4">
        <f t="shared" si="99"/>
        <v>20596.153846153844</v>
      </c>
      <c r="I136" s="4">
        <f t="shared" si="99"/>
        <v>19615.384615384617</v>
      </c>
      <c r="J136" s="4">
        <f t="shared" si="99"/>
        <v>19615.384615384617</v>
      </c>
      <c r="K136" s="4">
        <f t="shared" si="99"/>
        <v>21576.923076923078</v>
      </c>
      <c r="L136" s="4">
        <f t="shared" ref="L136" si="100">L$125+NPV($J$2,L126)</f>
        <v>21576.923076923078</v>
      </c>
      <c r="M136" s="4">
        <f t="shared" si="99"/>
        <v>21576.923076923078</v>
      </c>
      <c r="N136" s="1"/>
      <c r="O136" s="1"/>
      <c r="P136" s="1"/>
      <c r="Q136" s="1"/>
      <c r="R136" s="1"/>
      <c r="S136" s="1"/>
      <c r="T136" s="1"/>
    </row>
    <row r="137" spans="1:20" ht="18.75" hidden="1" customHeight="1">
      <c r="A137" s="2"/>
      <c r="B137" s="1" t="s">
        <v>274</v>
      </c>
      <c r="C137" s="4">
        <f t="shared" ref="C137:M137" si="101">C$125+NPV($J$2,C126:C127)</f>
        <v>24531.804733727811</v>
      </c>
      <c r="D137" s="4">
        <f t="shared" si="101"/>
        <v>24531.804733727811</v>
      </c>
      <c r="E137" s="4">
        <f t="shared" si="101"/>
        <v>27417.899408284022</v>
      </c>
      <c r="F137" s="4">
        <f t="shared" si="101"/>
        <v>37519.230769230766</v>
      </c>
      <c r="G137" s="4">
        <f t="shared" si="101"/>
        <v>37519.230769230766</v>
      </c>
      <c r="H137" s="4">
        <f t="shared" si="101"/>
        <v>30303.994082840232</v>
      </c>
      <c r="I137" s="4">
        <f t="shared" si="101"/>
        <v>28860.946745562131</v>
      </c>
      <c r="J137" s="4">
        <f t="shared" si="101"/>
        <v>28860.946745562131</v>
      </c>
      <c r="K137" s="4">
        <f t="shared" si="101"/>
        <v>31747.041420118345</v>
      </c>
      <c r="L137" s="4">
        <f t="shared" ref="L137" si="102">L$125+NPV($J$2,L126:L127)</f>
        <v>31747.041420118345</v>
      </c>
      <c r="M137" s="4">
        <f t="shared" si="101"/>
        <v>31747.041420118345</v>
      </c>
      <c r="N137" s="1"/>
      <c r="O137" s="1"/>
      <c r="P137" s="1"/>
      <c r="Q137" s="1"/>
      <c r="R137" s="1"/>
      <c r="S137" s="1"/>
      <c r="T137" s="1"/>
    </row>
    <row r="138" spans="1:20" ht="18.75" hidden="1" customHeight="1">
      <c r="A138" s="2"/>
      <c r="B138" s="1" t="s">
        <v>275</v>
      </c>
      <c r="C138" s="4">
        <f t="shared" ref="C138:M138" si="103">C$125+NPV($J$2,C126:C128)</f>
        <v>32088.273782430584</v>
      </c>
      <c r="D138" s="4">
        <f t="shared" si="103"/>
        <v>32088.273782430584</v>
      </c>
      <c r="E138" s="4">
        <f t="shared" si="103"/>
        <v>35863.364815657711</v>
      </c>
      <c r="F138" s="4">
        <f t="shared" si="103"/>
        <v>49076.183431952661</v>
      </c>
      <c r="G138" s="4">
        <f t="shared" si="103"/>
        <v>49076.183431952661</v>
      </c>
      <c r="H138" s="4">
        <f t="shared" si="103"/>
        <v>39638.455848884842</v>
      </c>
      <c r="I138" s="4">
        <f t="shared" si="103"/>
        <v>37750.910332271276</v>
      </c>
      <c r="J138" s="4">
        <f t="shared" si="103"/>
        <v>37750.910332271276</v>
      </c>
      <c r="K138" s="4">
        <f t="shared" si="103"/>
        <v>41526.001365498407</v>
      </c>
      <c r="L138" s="4">
        <f t="shared" ref="L138" si="104">L$125+NPV($J$2,L126:L128)</f>
        <v>41526.001365498407</v>
      </c>
      <c r="M138" s="4">
        <f t="shared" si="103"/>
        <v>41526.001365498407</v>
      </c>
      <c r="N138" s="1"/>
      <c r="O138" s="1"/>
      <c r="P138" s="1"/>
      <c r="Q138" s="1"/>
      <c r="R138" s="1"/>
      <c r="S138" s="1"/>
      <c r="T138" s="1"/>
    </row>
    <row r="139" spans="1:20" ht="18.75" hidden="1" customHeight="1">
      <c r="A139" s="2"/>
      <c r="B139" s="1" t="s">
        <v>276</v>
      </c>
      <c r="C139" s="4">
        <f t="shared" ref="C139:M139" si="105">C$125+NPV($J$2,C126:C129)</f>
        <v>39354.109406183255</v>
      </c>
      <c r="D139" s="4">
        <f t="shared" si="105"/>
        <v>39354.109406183255</v>
      </c>
      <c r="E139" s="4">
        <f t="shared" si="105"/>
        <v>43984.004630440104</v>
      </c>
      <c r="F139" s="4">
        <f t="shared" si="105"/>
        <v>60188.637915339095</v>
      </c>
      <c r="G139" s="4">
        <f t="shared" si="105"/>
        <v>60188.637915339095</v>
      </c>
      <c r="H139" s="4">
        <f t="shared" si="105"/>
        <v>48613.89985469696</v>
      </c>
      <c r="I139" s="4">
        <f t="shared" si="105"/>
        <v>46298.952242568535</v>
      </c>
      <c r="J139" s="4">
        <f t="shared" si="105"/>
        <v>46298.952242568535</v>
      </c>
      <c r="K139" s="4">
        <f t="shared" si="105"/>
        <v>50928.847466825391</v>
      </c>
      <c r="L139" s="4">
        <f t="shared" ref="L139" si="106">L$125+NPV($J$2,L126:L129)</f>
        <v>50928.847466825391</v>
      </c>
      <c r="M139" s="4">
        <f t="shared" si="105"/>
        <v>50928.847466825391</v>
      </c>
      <c r="N139" s="1"/>
      <c r="O139" s="1"/>
      <c r="P139" s="1"/>
      <c r="Q139" s="1"/>
      <c r="R139" s="1"/>
      <c r="S139" s="1"/>
      <c r="T139" s="1"/>
    </row>
    <row r="140" spans="1:20" ht="18.75" hidden="1" customHeight="1">
      <c r="A140" s="2"/>
      <c r="B140" s="1" t="s">
        <v>277</v>
      </c>
      <c r="C140" s="4">
        <f t="shared" ref="C140:M140" si="107">C$125+NPV($J$2,C126:C130)</f>
        <v>46340.489813637745</v>
      </c>
      <c r="D140" s="4">
        <f t="shared" si="107"/>
        <v>46340.489813637745</v>
      </c>
      <c r="E140" s="4">
        <f t="shared" si="107"/>
        <v>51792.312144653944</v>
      </c>
      <c r="F140" s="4">
        <f t="shared" si="107"/>
        <v>70873.690303210664</v>
      </c>
      <c r="G140" s="4">
        <f t="shared" si="107"/>
        <v>70873.690303210664</v>
      </c>
      <c r="H140" s="4">
        <f t="shared" si="107"/>
        <v>57244.134475670151</v>
      </c>
      <c r="I140" s="4">
        <f t="shared" si="107"/>
        <v>54518.223310162051</v>
      </c>
      <c r="J140" s="4">
        <f t="shared" si="107"/>
        <v>54518.223310162051</v>
      </c>
      <c r="K140" s="4">
        <f t="shared" si="107"/>
        <v>59970.045641178258</v>
      </c>
      <c r="L140" s="4">
        <f t="shared" ref="L140" si="108">L$125+NPV($J$2,L126:L130)</f>
        <v>59970.045641178258</v>
      </c>
      <c r="M140" s="4">
        <f t="shared" si="107"/>
        <v>59970.045641178258</v>
      </c>
      <c r="N140" s="1"/>
      <c r="O140" s="1"/>
      <c r="P140" s="1"/>
      <c r="Q140" s="1"/>
      <c r="R140" s="1"/>
      <c r="S140" s="1"/>
      <c r="T140" s="1"/>
    </row>
    <row r="141" spans="1:20" ht="18.75" hidden="1" customHeight="1">
      <c r="A141" s="2"/>
      <c r="B141" s="1" t="s">
        <v>278</v>
      </c>
      <c r="C141" s="4">
        <f t="shared" ref="C141:M141" si="109">C$125+NPV($J$2,C126:C131)</f>
        <v>53058.163282343987</v>
      </c>
      <c r="D141" s="4">
        <f t="shared" si="109"/>
        <v>53058.163282343987</v>
      </c>
      <c r="E141" s="4">
        <f t="shared" si="109"/>
        <v>59300.30013909033</v>
      </c>
      <c r="F141" s="4">
        <f t="shared" si="109"/>
        <v>81147.779137702557</v>
      </c>
      <c r="G141" s="4">
        <f t="shared" si="109"/>
        <v>81147.779137702557</v>
      </c>
      <c r="H141" s="4">
        <f t="shared" si="109"/>
        <v>65542.436995836673</v>
      </c>
      <c r="I141" s="4">
        <f t="shared" si="109"/>
        <v>62421.368567463513</v>
      </c>
      <c r="J141" s="4">
        <f t="shared" si="109"/>
        <v>62421.368567463513</v>
      </c>
      <c r="K141" s="4">
        <f t="shared" si="109"/>
        <v>68663.50542420987</v>
      </c>
      <c r="L141" s="4">
        <f t="shared" ref="L141" si="110">L$125+NPV($J$2,L126:L131)</f>
        <v>68663.50542420987</v>
      </c>
      <c r="M141" s="4">
        <f t="shared" si="109"/>
        <v>68663.50542420987</v>
      </c>
      <c r="N141" s="1"/>
      <c r="O141" s="1"/>
      <c r="P141" s="1"/>
      <c r="Q141" s="1"/>
      <c r="R141" s="1"/>
      <c r="S141" s="1"/>
      <c r="T141" s="1"/>
    </row>
    <row r="142" spans="1:20" ht="18.75" hidden="1" customHeight="1">
      <c r="A142" s="2"/>
      <c r="B142" s="1" t="s">
        <v>279</v>
      </c>
      <c r="C142" s="4">
        <f t="shared" ref="C142:M142" si="111">C$125+NPV($J$2,C126:C132)</f>
        <v>59517.464694561524</v>
      </c>
      <c r="D142" s="4">
        <f t="shared" si="111"/>
        <v>59517.464694561524</v>
      </c>
      <c r="E142" s="4">
        <f t="shared" si="111"/>
        <v>66519.519364509935</v>
      </c>
      <c r="F142" s="4">
        <f t="shared" si="111"/>
        <v>91026.710709329374</v>
      </c>
      <c r="G142" s="4">
        <f t="shared" si="111"/>
        <v>91026.710709329374</v>
      </c>
      <c r="H142" s="4">
        <f t="shared" si="111"/>
        <v>73521.574034458346</v>
      </c>
      <c r="I142" s="4">
        <f t="shared" si="111"/>
        <v>70020.546699484141</v>
      </c>
      <c r="J142" s="4">
        <f t="shared" si="111"/>
        <v>70020.546699484141</v>
      </c>
      <c r="K142" s="4">
        <f t="shared" si="111"/>
        <v>77022.601369432552</v>
      </c>
      <c r="L142" s="4">
        <f t="shared" ref="L142" si="112">L$125+NPV($J$2,L126:L132)</f>
        <v>77022.601369432552</v>
      </c>
      <c r="M142" s="4">
        <f t="shared" si="111"/>
        <v>77022.601369432552</v>
      </c>
      <c r="N142" s="1"/>
      <c r="O142" s="1"/>
      <c r="P142" s="1"/>
      <c r="Q142" s="1"/>
      <c r="R142" s="1"/>
      <c r="S142" s="1"/>
      <c r="T142" s="1"/>
    </row>
    <row r="143" spans="1:20" ht="18.75" hidden="1" customHeight="1">
      <c r="A143" s="2">
        <v>0</v>
      </c>
      <c r="B143" s="1" t="s">
        <v>280</v>
      </c>
      <c r="C143" s="4">
        <f t="shared" ref="C143:M143" si="113">C$125+NPV($J$2,C126:C133)</f>
        <v>65728.331437078392</v>
      </c>
      <c r="D143" s="4">
        <f t="shared" si="113"/>
        <v>65728.331437078392</v>
      </c>
      <c r="E143" s="4">
        <f t="shared" si="113"/>
        <v>73461.076312028774</v>
      </c>
      <c r="F143" s="4">
        <f t="shared" si="113"/>
        <v>100525.68337435517</v>
      </c>
      <c r="G143" s="4">
        <f t="shared" si="113"/>
        <v>100525.68337435517</v>
      </c>
      <c r="H143" s="4">
        <f t="shared" si="113"/>
        <v>81193.821186979156</v>
      </c>
      <c r="I143" s="4">
        <f t="shared" si="113"/>
        <v>77327.448749503979</v>
      </c>
      <c r="J143" s="4">
        <f t="shared" si="113"/>
        <v>77327.448749503979</v>
      </c>
      <c r="K143" s="4">
        <f t="shared" si="113"/>
        <v>85060.193624454376</v>
      </c>
      <c r="L143" s="4">
        <f t="shared" ref="L143" si="114">L$125+NPV($J$2,L126:L133)</f>
        <v>85060.193624454376</v>
      </c>
      <c r="M143" s="4">
        <f t="shared" si="113"/>
        <v>85060.193624454376</v>
      </c>
      <c r="N143" s="1"/>
      <c r="O143" s="1"/>
      <c r="P143" s="1"/>
      <c r="Q143" s="1"/>
      <c r="R143" s="1"/>
      <c r="S143" s="1"/>
      <c r="T143" s="1"/>
    </row>
    <row r="144" spans="1:20" ht="18.75" hidden="1" customHeight="1">
      <c r="A144" s="2">
        <v>1</v>
      </c>
      <c r="B144" s="1" t="s">
        <v>281</v>
      </c>
      <c r="C144" s="4">
        <f t="shared" ref="C144:M144" si="115">C$125+NPV($J$2,C126:C134)</f>
        <v>71700.318689498454</v>
      </c>
      <c r="D144" s="4">
        <f t="shared" si="115"/>
        <v>71700.318689498454</v>
      </c>
      <c r="E144" s="4">
        <f t="shared" si="115"/>
        <v>80135.650300027672</v>
      </c>
      <c r="F144" s="4">
        <f t="shared" si="115"/>
        <v>109659.31093687996</v>
      </c>
      <c r="G144" s="4">
        <f t="shared" si="115"/>
        <v>109659.31093687996</v>
      </c>
      <c r="H144" s="4">
        <f t="shared" si="115"/>
        <v>88570.981910556875</v>
      </c>
      <c r="I144" s="4">
        <f t="shared" si="115"/>
        <v>84353.316105292281</v>
      </c>
      <c r="J144" s="4">
        <f t="shared" si="115"/>
        <v>84353.316105292281</v>
      </c>
      <c r="K144" s="4">
        <f t="shared" si="115"/>
        <v>92788.647715821513</v>
      </c>
      <c r="L144" s="4">
        <f t="shared" ref="L144" si="116">L$125+NPV($J$2,L126:L134)</f>
        <v>92788.647715821513</v>
      </c>
      <c r="M144" s="4">
        <f t="shared" si="115"/>
        <v>92788.647715821513</v>
      </c>
      <c r="N144" s="1"/>
      <c r="O144" s="1"/>
      <c r="P144" s="1"/>
      <c r="Q144" s="1"/>
      <c r="R144" s="1"/>
      <c r="S144" s="1"/>
      <c r="T144" s="1"/>
    </row>
    <row r="145" spans="1:20" ht="18.75" hidden="1" customHeight="1">
      <c r="A145" s="2">
        <v>2</v>
      </c>
      <c r="B145" s="77" t="s">
        <v>282</v>
      </c>
      <c r="C145" s="77">
        <f t="shared" ref="C145:M145" si="117">IF(C$17-C$18-C$30&lt;0,0,C$17-C$18-C$30)</f>
        <v>272392</v>
      </c>
      <c r="D145" s="77">
        <f t="shared" si="117"/>
        <v>342392</v>
      </c>
      <c r="E145" s="77">
        <f t="shared" si="117"/>
        <v>214320</v>
      </c>
      <c r="F145" s="77">
        <f t="shared" si="117"/>
        <v>433992</v>
      </c>
      <c r="G145" s="77">
        <f t="shared" si="117"/>
        <v>503992</v>
      </c>
      <c r="H145" s="77">
        <f t="shared" si="117"/>
        <v>392000</v>
      </c>
      <c r="I145" s="77">
        <f t="shared" si="117"/>
        <v>378400</v>
      </c>
      <c r="J145" s="77">
        <f t="shared" si="117"/>
        <v>448400</v>
      </c>
      <c r="K145" s="77">
        <f t="shared" si="117"/>
        <v>271040</v>
      </c>
      <c r="L145" s="77">
        <f t="shared" si="117"/>
        <v>334240</v>
      </c>
      <c r="M145" s="77">
        <f t="shared" si="117"/>
        <v>241040</v>
      </c>
      <c r="N145" s="1"/>
      <c r="O145" s="1"/>
      <c r="P145" s="1"/>
      <c r="Q145" s="1"/>
      <c r="R145" s="1"/>
      <c r="S145" s="1"/>
      <c r="T145" s="1"/>
    </row>
    <row r="146" spans="1:20" ht="18.75" hidden="1" customHeight="1">
      <c r="A146" s="2">
        <v>3</v>
      </c>
      <c r="B146" s="1" t="s">
        <v>283</v>
      </c>
      <c r="C146" s="1">
        <v>0</v>
      </c>
      <c r="D146" s="1">
        <v>0</v>
      </c>
      <c r="E146" s="1">
        <v>0</v>
      </c>
      <c r="F146" s="1">
        <v>0</v>
      </c>
      <c r="G146" s="1">
        <v>0</v>
      </c>
      <c r="H146" s="1">
        <v>0</v>
      </c>
      <c r="I146" s="1">
        <v>0</v>
      </c>
      <c r="J146" s="1">
        <v>0</v>
      </c>
      <c r="K146" s="1">
        <v>0</v>
      </c>
      <c r="L146" s="1">
        <v>0</v>
      </c>
      <c r="M146" s="1">
        <v>0</v>
      </c>
      <c r="N146" s="1"/>
      <c r="O146" s="1"/>
      <c r="P146" s="1"/>
      <c r="Q146" s="1"/>
      <c r="R146" s="1"/>
      <c r="S146" s="1"/>
      <c r="T146" s="1"/>
    </row>
    <row r="147" spans="1:20" ht="18.75" hidden="1" customHeight="1">
      <c r="A147" s="2">
        <v>4</v>
      </c>
      <c r="B147" s="1" t="s">
        <v>284</v>
      </c>
      <c r="C147" s="78">
        <f t="shared" ref="C147:M147" si="118">C$145/$C$4*$A144</f>
        <v>90797.333333333328</v>
      </c>
      <c r="D147" s="78">
        <f t="shared" si="118"/>
        <v>114130.66666666667</v>
      </c>
      <c r="E147" s="78">
        <f t="shared" si="118"/>
        <v>71440</v>
      </c>
      <c r="F147" s="78">
        <f t="shared" si="118"/>
        <v>144664</v>
      </c>
      <c r="G147" s="78">
        <f t="shared" si="118"/>
        <v>167997.33333333334</v>
      </c>
      <c r="H147" s="78">
        <f t="shared" si="118"/>
        <v>130666.66666666667</v>
      </c>
      <c r="I147" s="78">
        <f t="shared" si="118"/>
        <v>126133.33333333333</v>
      </c>
      <c r="J147" s="78">
        <f t="shared" si="118"/>
        <v>149466.66666666666</v>
      </c>
      <c r="K147" s="78">
        <f t="shared" si="118"/>
        <v>90346.666666666672</v>
      </c>
      <c r="L147" s="78">
        <f t="shared" ref="L147" si="119">L$145/$C$4*$A144</f>
        <v>111413.33333333333</v>
      </c>
      <c r="M147" s="78">
        <f t="shared" si="118"/>
        <v>80346.666666666672</v>
      </c>
      <c r="N147" s="1"/>
      <c r="O147" s="1"/>
      <c r="P147" s="1"/>
      <c r="Q147" s="1"/>
      <c r="R147" s="1"/>
      <c r="S147" s="1"/>
      <c r="T147" s="1"/>
    </row>
    <row r="148" spans="1:20" ht="18.75" hidden="1" customHeight="1">
      <c r="A148" s="2">
        <v>5</v>
      </c>
      <c r="B148" s="1" t="s">
        <v>285</v>
      </c>
      <c r="C148" s="78">
        <f t="shared" ref="C148:M148" si="120">C$145/$C$4*$A145</f>
        <v>181594.66666666666</v>
      </c>
      <c r="D148" s="78">
        <f t="shared" si="120"/>
        <v>228261.33333333334</v>
      </c>
      <c r="E148" s="78">
        <f t="shared" si="120"/>
        <v>142880</v>
      </c>
      <c r="F148" s="78">
        <f t="shared" si="120"/>
        <v>289328</v>
      </c>
      <c r="G148" s="78">
        <f t="shared" si="120"/>
        <v>335994.66666666669</v>
      </c>
      <c r="H148" s="78">
        <f t="shared" si="120"/>
        <v>261333.33333333334</v>
      </c>
      <c r="I148" s="78">
        <f t="shared" si="120"/>
        <v>252266.66666666666</v>
      </c>
      <c r="J148" s="78">
        <f t="shared" si="120"/>
        <v>298933.33333333331</v>
      </c>
      <c r="K148" s="78">
        <f t="shared" si="120"/>
        <v>180693.33333333334</v>
      </c>
      <c r="L148" s="78">
        <f t="shared" ref="L148" si="121">L$145/$C$4*$A145</f>
        <v>222826.66666666666</v>
      </c>
      <c r="M148" s="78">
        <f t="shared" si="120"/>
        <v>160693.33333333334</v>
      </c>
      <c r="N148" s="1"/>
      <c r="O148" s="1"/>
      <c r="P148" s="1"/>
      <c r="Q148" s="1"/>
      <c r="R148" s="1"/>
      <c r="S148" s="1"/>
      <c r="T148" s="1"/>
    </row>
    <row r="149" spans="1:20" ht="18.75" hidden="1" customHeight="1">
      <c r="A149" s="2">
        <v>6</v>
      </c>
      <c r="B149" s="1" t="s">
        <v>286</v>
      </c>
      <c r="C149" s="78">
        <f t="shared" ref="C149:M149" si="122">C$145/$C$4*$A146</f>
        <v>272392</v>
      </c>
      <c r="D149" s="78">
        <f t="shared" si="122"/>
        <v>342392</v>
      </c>
      <c r="E149" s="78">
        <f t="shared" si="122"/>
        <v>214320</v>
      </c>
      <c r="F149" s="78">
        <f t="shared" si="122"/>
        <v>433992</v>
      </c>
      <c r="G149" s="78">
        <f t="shared" si="122"/>
        <v>503992</v>
      </c>
      <c r="H149" s="78">
        <f t="shared" si="122"/>
        <v>392000</v>
      </c>
      <c r="I149" s="78">
        <f t="shared" si="122"/>
        <v>378400</v>
      </c>
      <c r="J149" s="78">
        <f t="shared" si="122"/>
        <v>448400</v>
      </c>
      <c r="K149" s="78">
        <f t="shared" si="122"/>
        <v>271040</v>
      </c>
      <c r="L149" s="78">
        <f t="shared" ref="L149" si="123">L$145/$C$4*$A146</f>
        <v>334240</v>
      </c>
      <c r="M149" s="78">
        <f t="shared" si="122"/>
        <v>241040</v>
      </c>
      <c r="N149" s="1"/>
      <c r="O149" s="1"/>
      <c r="P149" s="1"/>
      <c r="Q149" s="1"/>
      <c r="R149" s="1"/>
      <c r="S149" s="1"/>
      <c r="T149" s="1"/>
    </row>
    <row r="150" spans="1:20" ht="18.75" hidden="1" customHeight="1">
      <c r="A150" s="2">
        <v>7</v>
      </c>
      <c r="B150" s="1" t="s">
        <v>287</v>
      </c>
      <c r="C150" s="78">
        <f t="shared" ref="C150:M150" si="124">C$145/$C$4*$A147</f>
        <v>363189.33333333331</v>
      </c>
      <c r="D150" s="78">
        <f t="shared" si="124"/>
        <v>456522.66666666669</v>
      </c>
      <c r="E150" s="78">
        <f t="shared" si="124"/>
        <v>285760</v>
      </c>
      <c r="F150" s="78">
        <f t="shared" si="124"/>
        <v>578656</v>
      </c>
      <c r="G150" s="78">
        <f t="shared" si="124"/>
        <v>671989.33333333337</v>
      </c>
      <c r="H150" s="78">
        <f t="shared" si="124"/>
        <v>522666.66666666669</v>
      </c>
      <c r="I150" s="78">
        <f t="shared" si="124"/>
        <v>504533.33333333331</v>
      </c>
      <c r="J150" s="78">
        <f t="shared" si="124"/>
        <v>597866.66666666663</v>
      </c>
      <c r="K150" s="78">
        <f t="shared" si="124"/>
        <v>361386.66666666669</v>
      </c>
      <c r="L150" s="78">
        <f t="shared" ref="L150" si="125">L$145/$C$4*$A147</f>
        <v>445653.33333333331</v>
      </c>
      <c r="M150" s="78">
        <f t="shared" si="124"/>
        <v>321386.66666666669</v>
      </c>
      <c r="N150" s="1">
        <v>0</v>
      </c>
      <c r="O150" s="1"/>
      <c r="P150" s="1"/>
      <c r="Q150" s="1"/>
      <c r="R150" s="1"/>
      <c r="S150" s="1"/>
      <c r="T150" s="1"/>
    </row>
    <row r="151" spans="1:20" ht="18.75" hidden="1" customHeight="1">
      <c r="A151" s="2">
        <v>8</v>
      </c>
      <c r="B151" s="1" t="s">
        <v>288</v>
      </c>
      <c r="C151" s="78">
        <f t="shared" ref="C151:M151" si="126">C$145/$C$4*$A148</f>
        <v>453986.66666666663</v>
      </c>
      <c r="D151" s="78">
        <f t="shared" si="126"/>
        <v>570653.33333333337</v>
      </c>
      <c r="E151" s="78">
        <f t="shared" si="126"/>
        <v>357200</v>
      </c>
      <c r="F151" s="78">
        <f t="shared" si="126"/>
        <v>723320</v>
      </c>
      <c r="G151" s="78">
        <f t="shared" si="126"/>
        <v>839986.66666666674</v>
      </c>
      <c r="H151" s="78">
        <f t="shared" si="126"/>
        <v>653333.33333333337</v>
      </c>
      <c r="I151" s="78">
        <f t="shared" si="126"/>
        <v>630666.66666666663</v>
      </c>
      <c r="J151" s="78">
        <f t="shared" si="126"/>
        <v>747333.33333333326</v>
      </c>
      <c r="K151" s="78">
        <f t="shared" si="126"/>
        <v>451733.33333333337</v>
      </c>
      <c r="L151" s="78">
        <f t="shared" ref="L151" si="127">L$145/$C$4*$A148</f>
        <v>557066.66666666663</v>
      </c>
      <c r="M151" s="78">
        <f t="shared" si="126"/>
        <v>401733.33333333337</v>
      </c>
      <c r="N151" s="1"/>
      <c r="O151" s="1"/>
      <c r="P151" s="1"/>
      <c r="Q151" s="1"/>
      <c r="R151" s="1"/>
      <c r="S151" s="1"/>
      <c r="T151" s="1"/>
    </row>
    <row r="152" spans="1:20" ht="18.75" hidden="1" customHeight="1">
      <c r="A152" s="2">
        <v>9</v>
      </c>
      <c r="B152" s="1" t="s">
        <v>289</v>
      </c>
      <c r="C152" s="78">
        <f t="shared" ref="C152:M152" si="128">C$145/$C$4*$A149</f>
        <v>544784</v>
      </c>
      <c r="D152" s="78">
        <f t="shared" si="128"/>
        <v>684784</v>
      </c>
      <c r="E152" s="78">
        <f t="shared" si="128"/>
        <v>428640</v>
      </c>
      <c r="F152" s="78">
        <f t="shared" si="128"/>
        <v>867984</v>
      </c>
      <c r="G152" s="78">
        <f t="shared" si="128"/>
        <v>1007984</v>
      </c>
      <c r="H152" s="78">
        <f t="shared" si="128"/>
        <v>784000</v>
      </c>
      <c r="I152" s="78">
        <f t="shared" si="128"/>
        <v>756800</v>
      </c>
      <c r="J152" s="78">
        <f t="shared" si="128"/>
        <v>896800</v>
      </c>
      <c r="K152" s="78">
        <f t="shared" si="128"/>
        <v>542080</v>
      </c>
      <c r="L152" s="78">
        <f t="shared" ref="L152" si="129">L$145/$C$4*$A149</f>
        <v>668480</v>
      </c>
      <c r="M152" s="78">
        <f t="shared" si="128"/>
        <v>482080</v>
      </c>
      <c r="N152" s="1"/>
      <c r="O152" s="1"/>
      <c r="P152" s="1"/>
      <c r="Q152" s="1"/>
      <c r="R152" s="1"/>
      <c r="S152" s="1"/>
      <c r="T152" s="1"/>
    </row>
    <row r="153" spans="1:20" ht="18.75" hidden="1" customHeight="1">
      <c r="A153" s="2">
        <v>0</v>
      </c>
      <c r="B153" s="1" t="s">
        <v>290</v>
      </c>
      <c r="C153" s="78">
        <f t="shared" ref="C153:M153" si="130">C$145/$C$4*$A150</f>
        <v>635581.33333333326</v>
      </c>
      <c r="D153" s="78">
        <f t="shared" si="130"/>
        <v>798914.66666666674</v>
      </c>
      <c r="E153" s="78">
        <f t="shared" si="130"/>
        <v>500080</v>
      </c>
      <c r="F153" s="78">
        <f t="shared" si="130"/>
        <v>1012648</v>
      </c>
      <c r="G153" s="78">
        <f t="shared" si="130"/>
        <v>1175981.3333333335</v>
      </c>
      <c r="H153" s="78">
        <f t="shared" si="130"/>
        <v>914666.66666666674</v>
      </c>
      <c r="I153" s="78">
        <f t="shared" si="130"/>
        <v>882933.33333333326</v>
      </c>
      <c r="J153" s="78">
        <f t="shared" si="130"/>
        <v>1046266.6666666666</v>
      </c>
      <c r="K153" s="78">
        <f t="shared" si="130"/>
        <v>632426.66666666674</v>
      </c>
      <c r="L153" s="78">
        <f t="shared" ref="L153" si="131">L$145/$C$4*$A150</f>
        <v>779893.33333333326</v>
      </c>
      <c r="M153" s="78">
        <f t="shared" si="130"/>
        <v>562426.66666666674</v>
      </c>
      <c r="N153" s="1"/>
      <c r="O153" s="1"/>
      <c r="P153" s="1"/>
      <c r="Q153" s="1"/>
      <c r="R153" s="1"/>
      <c r="S153" s="1"/>
      <c r="T153" s="1"/>
    </row>
    <row r="154" spans="1:20" ht="18.75" hidden="1" customHeight="1">
      <c r="A154" s="2">
        <v>1</v>
      </c>
      <c r="B154" s="1" t="s">
        <v>291</v>
      </c>
      <c r="C154" s="78">
        <f t="shared" ref="C154:M154" si="132">C$145/$C$4*$A151</f>
        <v>726378.66666666663</v>
      </c>
      <c r="D154" s="78">
        <f t="shared" si="132"/>
        <v>913045.33333333337</v>
      </c>
      <c r="E154" s="78">
        <f t="shared" si="132"/>
        <v>571520</v>
      </c>
      <c r="F154" s="78">
        <f t="shared" si="132"/>
        <v>1157312</v>
      </c>
      <c r="G154" s="78">
        <f t="shared" si="132"/>
        <v>1343978.6666666667</v>
      </c>
      <c r="H154" s="78">
        <f t="shared" si="132"/>
        <v>1045333.3333333334</v>
      </c>
      <c r="I154" s="78">
        <f t="shared" si="132"/>
        <v>1009066.6666666666</v>
      </c>
      <c r="J154" s="78">
        <f t="shared" si="132"/>
        <v>1195733.3333333333</v>
      </c>
      <c r="K154" s="78">
        <f t="shared" si="132"/>
        <v>722773.33333333337</v>
      </c>
      <c r="L154" s="78">
        <f t="shared" ref="L154" si="133">L$145/$C$4*$A151</f>
        <v>891306.66666666663</v>
      </c>
      <c r="M154" s="78">
        <f t="shared" si="132"/>
        <v>642773.33333333337</v>
      </c>
      <c r="N154" s="1"/>
      <c r="O154" s="1"/>
      <c r="P154" s="1"/>
      <c r="Q154" s="1"/>
      <c r="R154" s="1"/>
      <c r="S154" s="1"/>
      <c r="T154" s="1"/>
    </row>
    <row r="155" spans="1:20" ht="18.75" hidden="1" customHeight="1">
      <c r="A155" s="2">
        <v>2</v>
      </c>
      <c r="B155" s="12" t="s">
        <v>292</v>
      </c>
      <c r="C155" s="79">
        <f t="shared" ref="C155:M155" si="134">C$145/$C$4*$A152</f>
        <v>817176</v>
      </c>
      <c r="D155" s="79">
        <f t="shared" si="134"/>
        <v>1027176</v>
      </c>
      <c r="E155" s="79">
        <f t="shared" si="134"/>
        <v>642960</v>
      </c>
      <c r="F155" s="79">
        <f t="shared" si="134"/>
        <v>1301976</v>
      </c>
      <c r="G155" s="79">
        <f t="shared" si="134"/>
        <v>1511976</v>
      </c>
      <c r="H155" s="79">
        <f t="shared" si="134"/>
        <v>1176000</v>
      </c>
      <c r="I155" s="79">
        <f t="shared" si="134"/>
        <v>1135200</v>
      </c>
      <c r="J155" s="79">
        <f t="shared" si="134"/>
        <v>1345200</v>
      </c>
      <c r="K155" s="79">
        <f t="shared" si="134"/>
        <v>813120</v>
      </c>
      <c r="L155" s="79">
        <f t="shared" ref="L155" si="135">L$145/$C$4*$A152</f>
        <v>1002720</v>
      </c>
      <c r="M155" s="79">
        <f t="shared" si="134"/>
        <v>723120</v>
      </c>
      <c r="N155" s="1"/>
      <c r="O155" s="1"/>
      <c r="P155" s="1"/>
      <c r="Q155" s="1"/>
      <c r="R155" s="1"/>
      <c r="S155" s="1"/>
      <c r="T155" s="1"/>
    </row>
    <row r="156" spans="1:20" ht="18.75" hidden="1" customHeight="1">
      <c r="A156" s="2">
        <v>3</v>
      </c>
      <c r="B156" s="1" t="s">
        <v>293</v>
      </c>
      <c r="C156" s="78">
        <f t="shared" ref="C156:M156" si="136">IF(C$145&gt;C146,(C$145-C146)*IF(C$15&lt;$O$26,$J$4,$J$3)/(1+$J$2)^$A153,0)</f>
        <v>8171.7599999999993</v>
      </c>
      <c r="D156" s="78">
        <f t="shared" si="136"/>
        <v>10271.76</v>
      </c>
      <c r="E156" s="78">
        <f t="shared" si="136"/>
        <v>8572.7999999999993</v>
      </c>
      <c r="F156" s="78">
        <f t="shared" si="136"/>
        <v>13019.76</v>
      </c>
      <c r="G156" s="78">
        <f t="shared" si="136"/>
        <v>15119.76</v>
      </c>
      <c r="H156" s="78">
        <f t="shared" si="136"/>
        <v>15680</v>
      </c>
      <c r="I156" s="78">
        <f t="shared" si="136"/>
        <v>11352</v>
      </c>
      <c r="J156" s="78">
        <f t="shared" si="136"/>
        <v>13452</v>
      </c>
      <c r="K156" s="78">
        <f t="shared" si="136"/>
        <v>10841.6</v>
      </c>
      <c r="L156" s="78">
        <f t="shared" ref="L156" si="137">IF(L$145&gt;L146,(L$145-L146)*IF(L$15&lt;$O$26,$J$4,$J$3)/(1+$J$2)^$A153,0)</f>
        <v>10027.199999999999</v>
      </c>
      <c r="M156" s="78">
        <f t="shared" si="136"/>
        <v>9641.6</v>
      </c>
      <c r="N156" s="1"/>
      <c r="O156" s="1"/>
      <c r="P156" s="1"/>
      <c r="Q156" s="1"/>
      <c r="R156" s="1"/>
      <c r="S156" s="1"/>
      <c r="T156" s="1"/>
    </row>
    <row r="157" spans="1:20" ht="18.75" hidden="1" customHeight="1">
      <c r="A157" s="2">
        <v>4</v>
      </c>
      <c r="B157" s="1" t="s">
        <v>294</v>
      </c>
      <c r="C157" s="78">
        <f t="shared" ref="C157:M157" si="138">IF(C$145&gt;C147,(C$145-C147)*IF(C$15&lt;$O$26,$J$4,$J$3)/(1+$J$2)^$A154,0)</f>
        <v>5238.3076923076924</v>
      </c>
      <c r="D157" s="78">
        <f t="shared" si="138"/>
        <v>6584.4615384615372</v>
      </c>
      <c r="E157" s="78">
        <f t="shared" si="138"/>
        <v>5495.3846153846152</v>
      </c>
      <c r="F157" s="78">
        <f t="shared" si="138"/>
        <v>8346</v>
      </c>
      <c r="G157" s="78">
        <f t="shared" si="138"/>
        <v>9692.1538461538439</v>
      </c>
      <c r="H157" s="78">
        <f t="shared" si="138"/>
        <v>10051.282051282049</v>
      </c>
      <c r="I157" s="78">
        <f t="shared" si="138"/>
        <v>7276.9230769230762</v>
      </c>
      <c r="J157" s="78">
        <f t="shared" si="138"/>
        <v>8623.076923076922</v>
      </c>
      <c r="K157" s="78">
        <f t="shared" si="138"/>
        <v>6949.7435897435889</v>
      </c>
      <c r="L157" s="78">
        <f t="shared" ref="L157" si="139">IF(L$145&gt;L147,(L$145-L147)*IF(L$15&lt;$O$26,$J$4,$J$3)/(1+$J$2)^$A154,0)</f>
        <v>6427.6923076923076</v>
      </c>
      <c r="M157" s="78">
        <f t="shared" si="138"/>
        <v>6180.5128205128194</v>
      </c>
      <c r="N157" s="1"/>
      <c r="O157" s="1"/>
      <c r="P157" s="1"/>
      <c r="Q157" s="1"/>
      <c r="R157" s="1"/>
      <c r="S157" s="1"/>
      <c r="T157" s="1"/>
    </row>
    <row r="158" spans="1:20" ht="18.75" hidden="1" customHeight="1">
      <c r="A158" s="2">
        <v>5</v>
      </c>
      <c r="B158" s="1" t="s">
        <v>295</v>
      </c>
      <c r="C158" s="78">
        <f t="shared" ref="C158:M158" si="140">IF(C$145&gt;C148,(C$145-C148)*IF(C$15&lt;$O$26,$J$4,$J$3)/(1+$J$2)^$A155,0)</f>
        <v>2518.4171597633135</v>
      </c>
      <c r="D158" s="78">
        <f t="shared" si="140"/>
        <v>3165.6065088757391</v>
      </c>
      <c r="E158" s="78">
        <f t="shared" si="140"/>
        <v>2642.0118343195263</v>
      </c>
      <c r="F158" s="78">
        <f t="shared" si="140"/>
        <v>4012.4999999999995</v>
      </c>
      <c r="G158" s="78">
        <f t="shared" si="140"/>
        <v>4659.6893491124247</v>
      </c>
      <c r="H158" s="78">
        <f t="shared" si="140"/>
        <v>4832.3471400394465</v>
      </c>
      <c r="I158" s="78">
        <f t="shared" si="140"/>
        <v>3498.5207100591711</v>
      </c>
      <c r="J158" s="78">
        <f t="shared" si="140"/>
        <v>4145.7100591715971</v>
      </c>
      <c r="K158" s="78">
        <f t="shared" si="140"/>
        <v>3341.2228796844174</v>
      </c>
      <c r="L158" s="78">
        <f t="shared" ref="L158" si="141">IF(L$145&gt;L148,(L$145-L148)*IF(L$15&lt;$O$26,$J$4,$J$3)/(1+$J$2)^$A155,0)</f>
        <v>3090.2366863905322</v>
      </c>
      <c r="M158" s="78">
        <f t="shared" si="140"/>
        <v>2971.4003944773171</v>
      </c>
      <c r="N158" s="1"/>
      <c r="O158" s="1"/>
      <c r="P158" s="1"/>
      <c r="Q158" s="1"/>
      <c r="R158" s="1"/>
      <c r="S158" s="1"/>
      <c r="T158" s="1"/>
    </row>
    <row r="159" spans="1:20" ht="18.75" hidden="1" customHeight="1">
      <c r="A159" s="2">
        <v>6</v>
      </c>
      <c r="B159" s="1" t="s">
        <v>296</v>
      </c>
      <c r="C159" s="78">
        <f t="shared" ref="C159:M159" si="142">IF(C$145&gt;C149,(C$145-C149)*IF(C$15&lt;$O$26,$J$4,$J$3)/(1+$J$2)^$A156,0)</f>
        <v>0</v>
      </c>
      <c r="D159" s="78">
        <f t="shared" si="142"/>
        <v>0</v>
      </c>
      <c r="E159" s="78">
        <f t="shared" si="142"/>
        <v>0</v>
      </c>
      <c r="F159" s="78">
        <f t="shared" si="142"/>
        <v>0</v>
      </c>
      <c r="G159" s="78">
        <f t="shared" si="142"/>
        <v>0</v>
      </c>
      <c r="H159" s="78">
        <f t="shared" si="142"/>
        <v>0</v>
      </c>
      <c r="I159" s="78">
        <f t="shared" si="142"/>
        <v>0</v>
      </c>
      <c r="J159" s="78">
        <f t="shared" si="142"/>
        <v>0</v>
      </c>
      <c r="K159" s="78">
        <f t="shared" si="142"/>
        <v>0</v>
      </c>
      <c r="L159" s="78">
        <f t="shared" ref="L159" si="143">IF(L$145&gt;L149,(L$145-L149)*IF(L$15&lt;$O$26,$J$4,$J$3)/(1+$J$2)^$A156,0)</f>
        <v>0</v>
      </c>
      <c r="M159" s="78">
        <f t="shared" si="142"/>
        <v>0</v>
      </c>
      <c r="N159" s="1"/>
      <c r="O159" s="1"/>
      <c r="P159" s="1"/>
      <c r="Q159" s="1"/>
      <c r="R159" s="1"/>
      <c r="S159" s="1"/>
      <c r="T159" s="1"/>
    </row>
    <row r="160" spans="1:20" ht="18.75" hidden="1" customHeight="1">
      <c r="A160" s="2">
        <v>7</v>
      </c>
      <c r="B160" s="1" t="s">
        <v>297</v>
      </c>
      <c r="C160" s="78">
        <f t="shared" ref="C160:M160" si="144">IF(C$145&gt;C150,(C$145-C150)*IF(C$15&lt;$O$26,$J$4,$J$3)/(1+$J$2)^$A157,0)</f>
        <v>0</v>
      </c>
      <c r="D160" s="78">
        <f t="shared" si="144"/>
        <v>0</v>
      </c>
      <c r="E160" s="78">
        <f t="shared" si="144"/>
        <v>0</v>
      </c>
      <c r="F160" s="78">
        <f t="shared" si="144"/>
        <v>0</v>
      </c>
      <c r="G160" s="78">
        <f t="shared" si="144"/>
        <v>0</v>
      </c>
      <c r="H160" s="78">
        <f t="shared" si="144"/>
        <v>0</v>
      </c>
      <c r="I160" s="78">
        <f t="shared" si="144"/>
        <v>0</v>
      </c>
      <c r="J160" s="78">
        <f t="shared" si="144"/>
        <v>0</v>
      </c>
      <c r="K160" s="78">
        <f t="shared" si="144"/>
        <v>0</v>
      </c>
      <c r="L160" s="78">
        <f t="shared" ref="L160" si="145">IF(L$145&gt;L150,(L$145-L150)*IF(L$15&lt;$O$26,$J$4,$J$3)/(1+$J$2)^$A157,0)</f>
        <v>0</v>
      </c>
      <c r="M160" s="78">
        <f t="shared" si="144"/>
        <v>0</v>
      </c>
      <c r="N160" s="1"/>
      <c r="O160" s="1"/>
      <c r="P160" s="1"/>
      <c r="Q160" s="1"/>
      <c r="R160" s="1"/>
      <c r="S160" s="1"/>
      <c r="T160" s="1"/>
    </row>
    <row r="161" spans="1:20" ht="18.75" hidden="1" customHeight="1">
      <c r="A161" s="2">
        <v>8</v>
      </c>
      <c r="B161" s="1" t="s">
        <v>298</v>
      </c>
      <c r="C161" s="78">
        <f t="shared" ref="C161:M161" si="146">IF(C$145&gt;C151,(C$145-C151)*IF(C$15&lt;$O$26,$J$4,$J$3)/(1+$J$2)^$A158,0)</f>
        <v>0</v>
      </c>
      <c r="D161" s="78">
        <f t="shared" si="146"/>
        <v>0</v>
      </c>
      <c r="E161" s="78">
        <f t="shared" si="146"/>
        <v>0</v>
      </c>
      <c r="F161" s="78">
        <f t="shared" si="146"/>
        <v>0</v>
      </c>
      <c r="G161" s="78">
        <f t="shared" si="146"/>
        <v>0</v>
      </c>
      <c r="H161" s="78">
        <f t="shared" si="146"/>
        <v>0</v>
      </c>
      <c r="I161" s="78">
        <f t="shared" si="146"/>
        <v>0</v>
      </c>
      <c r="J161" s="78">
        <f t="shared" si="146"/>
        <v>0</v>
      </c>
      <c r="K161" s="78">
        <f t="shared" si="146"/>
        <v>0</v>
      </c>
      <c r="L161" s="78">
        <f t="shared" ref="L161" si="147">IF(L$145&gt;L151,(L$145-L151)*IF(L$15&lt;$O$26,$J$4,$J$3)/(1+$J$2)^$A158,0)</f>
        <v>0</v>
      </c>
      <c r="M161" s="78">
        <f t="shared" si="146"/>
        <v>0</v>
      </c>
      <c r="N161" s="1"/>
      <c r="O161" s="1"/>
      <c r="P161" s="1"/>
      <c r="Q161" s="1"/>
      <c r="R161" s="1"/>
      <c r="S161" s="1"/>
      <c r="T161" s="1"/>
    </row>
    <row r="162" spans="1:20" ht="18.75" hidden="1" customHeight="1">
      <c r="A162" s="2">
        <v>9</v>
      </c>
      <c r="B162" s="1" t="s">
        <v>299</v>
      </c>
      <c r="C162" s="78">
        <f t="shared" ref="C162:M162" si="148">IF(C$145&gt;C152,(C$145-C152)*IF(C$15&lt;$O$26,$J$4,$J$3)/(1+$J$2)^$A159,0)</f>
        <v>0</v>
      </c>
      <c r="D162" s="78">
        <f t="shared" si="148"/>
        <v>0</v>
      </c>
      <c r="E162" s="78">
        <f t="shared" si="148"/>
        <v>0</v>
      </c>
      <c r="F162" s="78">
        <f t="shared" si="148"/>
        <v>0</v>
      </c>
      <c r="G162" s="78">
        <f t="shared" si="148"/>
        <v>0</v>
      </c>
      <c r="H162" s="78">
        <f t="shared" si="148"/>
        <v>0</v>
      </c>
      <c r="I162" s="78">
        <f t="shared" si="148"/>
        <v>0</v>
      </c>
      <c r="J162" s="78">
        <f t="shared" si="148"/>
        <v>0</v>
      </c>
      <c r="K162" s="78">
        <f t="shared" si="148"/>
        <v>0</v>
      </c>
      <c r="L162" s="78">
        <f t="shared" ref="L162" si="149">IF(L$145&gt;L152,(L$145-L152)*IF(L$15&lt;$O$26,$J$4,$J$3)/(1+$J$2)^$A159,0)</f>
        <v>0</v>
      </c>
      <c r="M162" s="78">
        <f t="shared" si="148"/>
        <v>0</v>
      </c>
      <c r="N162" s="1"/>
      <c r="O162" s="1"/>
      <c r="P162" s="1"/>
      <c r="Q162" s="1"/>
      <c r="R162" s="1"/>
      <c r="S162" s="1"/>
      <c r="T162" s="1"/>
    </row>
    <row r="163" spans="1:20" ht="18.75" hidden="1" customHeight="1">
      <c r="B163" s="1" t="s">
        <v>300</v>
      </c>
      <c r="C163" s="78">
        <f t="shared" ref="C163:M163" si="150">IF(C$145&gt;C153,(C$145-C153)*IF(C$15&lt;$O$26,$J$4,$J$3)/(1+$J$2)^$A160,0)</f>
        <v>0</v>
      </c>
      <c r="D163" s="78">
        <f t="shared" si="150"/>
        <v>0</v>
      </c>
      <c r="E163" s="78">
        <f t="shared" si="150"/>
        <v>0</v>
      </c>
      <c r="F163" s="78">
        <f t="shared" si="150"/>
        <v>0</v>
      </c>
      <c r="G163" s="78">
        <f t="shared" si="150"/>
        <v>0</v>
      </c>
      <c r="H163" s="78">
        <f t="shared" si="150"/>
        <v>0</v>
      </c>
      <c r="I163" s="78">
        <f t="shared" si="150"/>
        <v>0</v>
      </c>
      <c r="J163" s="78">
        <f t="shared" si="150"/>
        <v>0</v>
      </c>
      <c r="K163" s="78">
        <f t="shared" si="150"/>
        <v>0</v>
      </c>
      <c r="L163" s="78">
        <f t="shared" ref="L163" si="151">IF(L$145&gt;L153,(L$145-L153)*IF(L$15&lt;$O$26,$J$4,$J$3)/(1+$J$2)^$A160,0)</f>
        <v>0</v>
      </c>
      <c r="M163" s="78">
        <f t="shared" si="150"/>
        <v>0</v>
      </c>
      <c r="N163" s="1"/>
      <c r="O163" s="1"/>
      <c r="P163" s="1"/>
      <c r="Q163" s="1"/>
      <c r="R163" s="1"/>
      <c r="S163" s="1"/>
      <c r="T163" s="1"/>
    </row>
    <row r="164" spans="1:20" ht="18.75" hidden="1" customHeight="1">
      <c r="B164" s="1" t="s">
        <v>301</v>
      </c>
      <c r="C164" s="78">
        <f t="shared" ref="C164:M164" si="152">IF(C$145&gt;C154,(C$145-C154)*IF(C$15&lt;$O$26,$J$4,$J$3)/(1+$J$2)^$A161,0)</f>
        <v>0</v>
      </c>
      <c r="D164" s="78">
        <f t="shared" si="152"/>
        <v>0</v>
      </c>
      <c r="E164" s="78">
        <f t="shared" si="152"/>
        <v>0</v>
      </c>
      <c r="F164" s="78">
        <f t="shared" si="152"/>
        <v>0</v>
      </c>
      <c r="G164" s="78">
        <f t="shared" si="152"/>
        <v>0</v>
      </c>
      <c r="H164" s="78">
        <f t="shared" si="152"/>
        <v>0</v>
      </c>
      <c r="I164" s="78">
        <f t="shared" si="152"/>
        <v>0</v>
      </c>
      <c r="J164" s="78">
        <f t="shared" si="152"/>
        <v>0</v>
      </c>
      <c r="K164" s="78">
        <f t="shared" si="152"/>
        <v>0</v>
      </c>
      <c r="L164" s="78">
        <f t="shared" ref="L164" si="153">IF(L$145&gt;L154,(L$145-L154)*IF(L$15&lt;$O$26,$J$4,$J$3)/(1+$J$2)^$A161,0)</f>
        <v>0</v>
      </c>
      <c r="M164" s="78">
        <f t="shared" si="152"/>
        <v>0</v>
      </c>
      <c r="N164" s="1"/>
      <c r="O164" s="1"/>
      <c r="P164" s="1"/>
      <c r="Q164" s="1"/>
      <c r="R164" s="1"/>
      <c r="S164" s="1"/>
      <c r="T164" s="1"/>
    </row>
    <row r="165" spans="1:20" ht="18.75" hidden="1" customHeight="1">
      <c r="B165" s="1" t="s">
        <v>302</v>
      </c>
      <c r="C165" s="78">
        <f t="shared" ref="C165:M165" si="154">IF(C$145&gt;C155,(C$145-C155)*IF(C$15&lt;$O$26,$J$4,$J$3)/(1+$J$2)^$A162,0)</f>
        <v>0</v>
      </c>
      <c r="D165" s="78">
        <f t="shared" si="154"/>
        <v>0</v>
      </c>
      <c r="E165" s="78">
        <f t="shared" si="154"/>
        <v>0</v>
      </c>
      <c r="F165" s="78">
        <f t="shared" si="154"/>
        <v>0</v>
      </c>
      <c r="G165" s="78">
        <f t="shared" si="154"/>
        <v>0</v>
      </c>
      <c r="H165" s="78">
        <f t="shared" si="154"/>
        <v>0</v>
      </c>
      <c r="I165" s="78">
        <f t="shared" si="154"/>
        <v>0</v>
      </c>
      <c r="J165" s="78">
        <f t="shared" si="154"/>
        <v>0</v>
      </c>
      <c r="K165" s="78">
        <f t="shared" si="154"/>
        <v>0</v>
      </c>
      <c r="L165" s="78">
        <f t="shared" ref="L165" si="155">IF(L$145&gt;L155,(L$145-L155)*IF(L$15&lt;$O$26,$J$4,$J$3)/(1+$J$2)^$A162,0)</f>
        <v>0</v>
      </c>
      <c r="M165" s="78">
        <f t="shared" si="154"/>
        <v>0</v>
      </c>
      <c r="N165" s="1"/>
      <c r="O165" s="1"/>
      <c r="P165" s="1"/>
      <c r="Q165" s="1"/>
      <c r="R165" s="1"/>
      <c r="S165" s="1"/>
      <c r="T165" s="1"/>
    </row>
    <row r="166" spans="1:20" ht="18.75" hidden="1" customHeight="1">
      <c r="N166" s="1"/>
    </row>
    <row r="167" spans="1:20" ht="18.75" hidden="1" customHeight="1">
      <c r="N167" s="1"/>
    </row>
    <row r="168" spans="1:20" ht="18.75" hidden="1" customHeight="1">
      <c r="N168" s="1"/>
    </row>
    <row r="169" spans="1:20" ht="18.75" hidden="1" customHeight="1">
      <c r="N169" s="1"/>
    </row>
  </sheetData>
  <sheetProtection algorithmName="SHA-512" hashValue="+XAKTJPw8GVZhBIqBenFLC+3JENrTSE+Xa1NSwfmnmLnhg+1X868s06N+cbghrGjDOjsMXcvmv10hq1Bmmb7og==" saltValue="4Kb5+drsDmgiRUWlktd17A==" spinCount="100000" sheet="1" objects="1" scenarios="1"/>
  <dataConsolidate/>
  <mergeCells count="14">
    <mergeCell ref="W3:X3"/>
    <mergeCell ref="W2:X2"/>
    <mergeCell ref="A5:B5"/>
    <mergeCell ref="W7:X7"/>
    <mergeCell ref="A2:B2"/>
    <mergeCell ref="A4:B4"/>
    <mergeCell ref="A3:B3"/>
    <mergeCell ref="A23:A24"/>
    <mergeCell ref="A25:A34"/>
    <mergeCell ref="A12:A22"/>
    <mergeCell ref="W5:X5"/>
    <mergeCell ref="W4:X4"/>
    <mergeCell ref="P10:Q10"/>
    <mergeCell ref="R10:S10"/>
  </mergeCells>
  <conditionalFormatting sqref="C28:M28 C31:M34">
    <cfRule type="cellIs" dxfId="1" priority="2" operator="greaterThan">
      <formula>0</formula>
    </cfRule>
  </conditionalFormatting>
  <conditionalFormatting sqref="M30 M29:N29 C29:L30">
    <cfRule type="cellIs" dxfId="0" priority="1" operator="greaterThan">
      <formula>0</formula>
    </cfRule>
  </conditionalFormatting>
  <dataValidations count="5">
    <dataValidation type="list" allowBlank="1" showInputMessage="1" showErrorMessage="1" sqref="C14:M14" xr:uid="{00000000-0002-0000-0100-000000000000}">
      <formula1>$E$3:$E$9</formula1>
    </dataValidation>
    <dataValidation type="list" allowBlank="1" showInputMessage="1" showErrorMessage="1" sqref="C5:C6" xr:uid="{00000000-0002-0000-0100-000001000000}">
      <formula1>$X$12:$X$14</formula1>
    </dataValidation>
    <dataValidation type="list" allowBlank="1" showInputMessage="1" showErrorMessage="1" sqref="C4" xr:uid="{00000000-0002-0000-0100-000002000000}">
      <formula1>$X$20:$X$29</formula1>
    </dataValidation>
    <dataValidation type="list" allowBlank="1" showInputMessage="1" showErrorMessage="1" sqref="C13:M13" xr:uid="{00000000-0002-0000-0100-000003000000}">
      <formula1>$V$20:$V$21</formula1>
    </dataValidation>
    <dataValidation type="list" allowBlank="1" showInputMessage="1" showErrorMessage="1" sqref="N12" xr:uid="{00000000-0002-0000-0100-000004000000}">
      <formula1>$AA$20:$AA$40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524E-67B2-411A-A9FA-8FA3A61E4B0A}">
  <dimension ref="A1:S173"/>
  <sheetViews>
    <sheetView showGridLines="0" showZeros="0" zoomScale="80" zoomScaleNormal="80" workbookViewId="0">
      <selection activeCell="M1" sqref="M1:XFD1048576"/>
    </sheetView>
  </sheetViews>
  <sheetFormatPr defaultColWidth="0" defaultRowHeight="18.75" customHeight="1" zeroHeight="1"/>
  <cols>
    <col min="1" max="1" width="20" customWidth="1"/>
    <col min="2" max="2" width="33.140625" bestFit="1" customWidth="1"/>
    <col min="3" max="8" width="18.140625" customWidth="1"/>
    <col min="9" max="9" width="18.5703125" customWidth="1"/>
    <col min="10" max="12" width="18.140625" customWidth="1"/>
    <col min="13" max="13" width="1.5703125" hidden="1" customWidth="1"/>
    <col min="14" max="14" width="26.42578125" hidden="1" customWidth="1"/>
    <col min="15" max="15" width="16.85546875" hidden="1" customWidth="1"/>
    <col min="16" max="16" width="5.5703125" hidden="1" customWidth="1"/>
    <col min="17" max="17" width="9.140625" hidden="1" customWidth="1"/>
    <col min="18" max="18" width="14.7109375" hidden="1" customWidth="1"/>
    <col min="19" max="19" width="7" hidden="1" customWidth="1"/>
    <col min="20" max="16384" width="9.28515625" hidden="1"/>
  </cols>
  <sheetData>
    <row r="1" spans="1:19" ht="18.75" customHeight="1">
      <c r="A1" s="54" t="s">
        <v>16</v>
      </c>
      <c r="B1" s="14"/>
      <c r="C1" s="60"/>
      <c r="D1" s="60"/>
      <c r="E1" s="61" t="s">
        <v>42</v>
      </c>
      <c r="F1" s="60"/>
      <c r="G1" s="60"/>
      <c r="H1" s="60"/>
      <c r="I1" s="61" t="s">
        <v>49</v>
      </c>
      <c r="J1" s="60"/>
      <c r="K1" s="60"/>
      <c r="L1" s="60"/>
      <c r="M1" s="1"/>
      <c r="N1" s="1"/>
      <c r="O1" s="1"/>
      <c r="P1" s="1"/>
      <c r="Q1" s="1"/>
      <c r="R1" s="1"/>
      <c r="S1" s="1"/>
    </row>
    <row r="2" spans="1:19" ht="18.75" customHeight="1">
      <c r="A2" s="154" t="s">
        <v>91</v>
      </c>
      <c r="B2" s="154"/>
      <c r="C2" s="62"/>
      <c r="D2" s="60"/>
      <c r="E2" s="63" t="s">
        <v>92</v>
      </c>
      <c r="F2" s="63" t="s">
        <v>93</v>
      </c>
      <c r="G2" s="63" t="s">
        <v>94</v>
      </c>
      <c r="H2" s="60"/>
      <c r="I2" s="115" t="s">
        <v>52</v>
      </c>
      <c r="J2" s="116">
        <v>0.04</v>
      </c>
      <c r="K2" s="60"/>
      <c r="L2" s="60"/>
      <c r="M2" s="1"/>
      <c r="N2" s="26" t="s">
        <v>303</v>
      </c>
      <c r="O2" s="25"/>
      <c r="P2" s="1"/>
      <c r="Q2" s="149" t="s">
        <v>98</v>
      </c>
      <c r="R2" s="150"/>
      <c r="S2" s="27" t="s">
        <v>99</v>
      </c>
    </row>
    <row r="3" spans="1:19" ht="18.75" customHeight="1">
      <c r="A3" s="151" t="s">
        <v>100</v>
      </c>
      <c r="B3" s="151"/>
      <c r="C3" s="65">
        <v>3433</v>
      </c>
      <c r="D3" s="60"/>
      <c r="E3" s="66" t="s">
        <v>101</v>
      </c>
      <c r="F3" s="67">
        <v>1.5</v>
      </c>
      <c r="G3" s="60" t="s">
        <v>102</v>
      </c>
      <c r="H3" s="60"/>
      <c r="I3" s="83"/>
      <c r="J3" s="68"/>
      <c r="K3" s="60"/>
      <c r="L3" s="60"/>
      <c r="M3" s="1"/>
      <c r="N3" s="19" t="s">
        <v>304</v>
      </c>
      <c r="O3" s="16">
        <v>60000</v>
      </c>
      <c r="P3" s="1"/>
      <c r="Q3" s="146" t="s">
        <v>104</v>
      </c>
      <c r="R3" s="147"/>
      <c r="S3" s="16">
        <v>250</v>
      </c>
    </row>
    <row r="4" spans="1:19" ht="18.75" customHeight="1">
      <c r="A4" s="151" t="s">
        <v>105</v>
      </c>
      <c r="B4" s="151"/>
      <c r="C4" s="65">
        <v>3</v>
      </c>
      <c r="D4" s="60"/>
      <c r="E4" s="66" t="s">
        <v>106</v>
      </c>
      <c r="F4" s="67">
        <v>14.18</v>
      </c>
      <c r="G4" s="60" t="s">
        <v>107</v>
      </c>
      <c r="H4" s="60"/>
      <c r="I4" s="82"/>
      <c r="J4" s="68"/>
      <c r="K4" s="60"/>
      <c r="L4" s="60"/>
      <c r="M4" s="1"/>
      <c r="N4" s="19" t="s">
        <v>114</v>
      </c>
      <c r="O4" s="16">
        <v>70</v>
      </c>
      <c r="P4" s="1"/>
      <c r="Q4" s="146" t="s">
        <v>110</v>
      </c>
      <c r="R4" s="147"/>
      <c r="S4" s="22">
        <v>13.52</v>
      </c>
    </row>
    <row r="5" spans="1:19" ht="18.75" customHeight="1">
      <c r="A5" s="151" t="s">
        <v>111</v>
      </c>
      <c r="B5" s="151"/>
      <c r="C5" s="69" t="s">
        <v>112</v>
      </c>
      <c r="D5" s="60"/>
      <c r="E5" s="66" t="s">
        <v>113</v>
      </c>
      <c r="F5" s="67">
        <v>14.18</v>
      </c>
      <c r="G5" s="60" t="s">
        <v>107</v>
      </c>
      <c r="H5" s="60"/>
      <c r="I5" s="60"/>
      <c r="J5" s="60"/>
      <c r="K5" s="60"/>
      <c r="L5" s="60"/>
      <c r="M5" s="1"/>
      <c r="N5" s="19" t="s">
        <v>116</v>
      </c>
      <c r="O5" s="16">
        <v>714</v>
      </c>
      <c r="P5" s="1"/>
      <c r="Q5" s="146"/>
      <c r="R5" s="147"/>
      <c r="S5" s="16"/>
    </row>
    <row r="6" spans="1:19" ht="18.75" customHeight="1">
      <c r="A6" s="57"/>
      <c r="B6" s="57"/>
      <c r="C6" s="69"/>
      <c r="D6" s="60"/>
      <c r="E6" s="66" t="s">
        <v>115</v>
      </c>
      <c r="F6" s="67">
        <v>14.5</v>
      </c>
      <c r="G6" s="60" t="s">
        <v>107</v>
      </c>
      <c r="H6" s="60"/>
      <c r="I6" s="60"/>
      <c r="J6" s="60"/>
      <c r="K6" s="60"/>
      <c r="L6" s="60"/>
      <c r="M6" s="1"/>
      <c r="N6" s="19"/>
      <c r="O6" s="16"/>
      <c r="P6" s="1"/>
      <c r="Q6" s="55"/>
      <c r="R6" s="56"/>
      <c r="S6" s="16"/>
    </row>
    <row r="7" spans="1:19" ht="18.75" customHeight="1">
      <c r="A7" s="14"/>
      <c r="B7" s="14"/>
      <c r="C7" s="60"/>
      <c r="D7" s="60"/>
      <c r="E7" s="66" t="s">
        <v>117</v>
      </c>
      <c r="F7" s="67">
        <v>19</v>
      </c>
      <c r="G7" s="60" t="s">
        <v>118</v>
      </c>
      <c r="H7" s="60"/>
      <c r="I7" s="60"/>
      <c r="J7" s="60"/>
      <c r="K7" s="60"/>
      <c r="L7" s="60"/>
      <c r="M7" s="1"/>
      <c r="N7" s="13" t="s">
        <v>120</v>
      </c>
      <c r="O7" s="11">
        <v>10000</v>
      </c>
      <c r="P7" s="1"/>
      <c r="Q7" s="152"/>
      <c r="R7" s="153"/>
      <c r="S7" s="76"/>
    </row>
    <row r="8" spans="1:19" ht="18.75" customHeight="1">
      <c r="A8" s="14"/>
      <c r="B8" s="14"/>
      <c r="C8" s="60"/>
      <c r="D8" s="60"/>
      <c r="E8" s="66" t="s">
        <v>119</v>
      </c>
      <c r="F8" s="67">
        <v>13.7</v>
      </c>
      <c r="G8" s="60" t="s">
        <v>107</v>
      </c>
      <c r="H8" s="60"/>
      <c r="I8" s="60"/>
      <c r="J8" s="60"/>
      <c r="K8" s="60"/>
      <c r="L8" s="60"/>
      <c r="M8" s="1"/>
      <c r="N8" s="47"/>
      <c r="O8" s="47"/>
      <c r="P8" s="1"/>
      <c r="Q8" s="56"/>
      <c r="R8" s="56"/>
      <c r="S8" s="47"/>
    </row>
    <row r="9" spans="1:19" ht="18.75" customHeight="1">
      <c r="A9" s="59"/>
      <c r="B9" s="59"/>
      <c r="C9" s="70"/>
      <c r="D9" s="60"/>
      <c r="E9" s="66" t="s">
        <v>121</v>
      </c>
      <c r="F9" s="67">
        <v>80</v>
      </c>
      <c r="G9" s="60" t="s">
        <v>118</v>
      </c>
      <c r="H9" s="60"/>
      <c r="I9" s="60"/>
      <c r="J9" s="60"/>
      <c r="K9" s="60"/>
      <c r="L9" s="60"/>
      <c r="M9" s="1"/>
      <c r="N9" s="1"/>
      <c r="O9" s="1"/>
      <c r="P9" s="1"/>
      <c r="Q9" s="1"/>
      <c r="R9" s="1"/>
      <c r="S9" s="1"/>
    </row>
    <row r="10" spans="1:19" ht="18.75" customHeight="1">
      <c r="A10" s="15"/>
      <c r="B10" s="15"/>
      <c r="C10" s="66"/>
      <c r="D10" s="60"/>
      <c r="E10" s="60"/>
      <c r="F10" s="60"/>
      <c r="G10" s="60"/>
      <c r="H10" s="60"/>
      <c r="I10" s="66"/>
      <c r="J10" s="60"/>
      <c r="K10" s="60"/>
      <c r="L10" s="60"/>
      <c r="M10" s="1"/>
      <c r="N10" s="1"/>
      <c r="O10" s="1"/>
      <c r="P10" s="1"/>
      <c r="Q10" s="1"/>
      <c r="R10" s="1"/>
      <c r="S10" s="1"/>
    </row>
    <row r="11" spans="1:19" ht="18.75" customHeight="1">
      <c r="A11" s="44" t="s">
        <v>1</v>
      </c>
      <c r="B11" s="10" t="s">
        <v>123</v>
      </c>
      <c r="C11" s="71" t="s">
        <v>305</v>
      </c>
      <c r="D11" s="71" t="s">
        <v>306</v>
      </c>
      <c r="E11" s="71" t="s">
        <v>305</v>
      </c>
      <c r="F11" s="71" t="s">
        <v>307</v>
      </c>
      <c r="G11" s="71" t="s">
        <v>307</v>
      </c>
      <c r="H11" s="71" t="s">
        <v>307</v>
      </c>
      <c r="I11" s="71" t="s">
        <v>307</v>
      </c>
      <c r="J11" s="71" t="s">
        <v>307</v>
      </c>
      <c r="K11" s="71" t="s">
        <v>307</v>
      </c>
      <c r="L11" s="71" t="s">
        <v>307</v>
      </c>
      <c r="M11" s="1"/>
      <c r="N11" s="29" t="s">
        <v>178</v>
      </c>
      <c r="O11" s="28" t="s">
        <v>133</v>
      </c>
      <c r="P11" s="27" t="s">
        <v>99</v>
      </c>
      <c r="Q11" s="1"/>
      <c r="R11" s="26" t="s">
        <v>134</v>
      </c>
      <c r="S11" s="25"/>
    </row>
    <row r="12" spans="1:19" ht="18.75" customHeight="1">
      <c r="A12" s="144" t="s">
        <v>135</v>
      </c>
      <c r="B12" s="6" t="s">
        <v>308</v>
      </c>
      <c r="C12" s="72" t="s">
        <v>140</v>
      </c>
      <c r="D12" s="72" t="s">
        <v>140</v>
      </c>
      <c r="E12" s="72" t="s">
        <v>140</v>
      </c>
      <c r="F12" s="72"/>
      <c r="G12" s="72"/>
      <c r="H12" s="72"/>
      <c r="I12" s="72"/>
      <c r="J12" s="72"/>
      <c r="K12" s="72"/>
      <c r="L12" s="72"/>
      <c r="M12" s="1"/>
      <c r="N12" s="146" t="s">
        <v>137</v>
      </c>
      <c r="O12" s="147"/>
      <c r="P12" s="16">
        <v>360</v>
      </c>
      <c r="Q12" s="1"/>
      <c r="R12" s="19" t="s">
        <v>138</v>
      </c>
      <c r="S12" s="20">
        <v>0.8</v>
      </c>
    </row>
    <row r="13" spans="1:19" ht="18.75" customHeight="1">
      <c r="A13" s="144"/>
      <c r="B13" s="6" t="s">
        <v>143</v>
      </c>
      <c r="C13" s="72" t="s">
        <v>101</v>
      </c>
      <c r="D13" s="72" t="s">
        <v>113</v>
      </c>
      <c r="E13" s="72" t="s">
        <v>101</v>
      </c>
      <c r="F13" s="72"/>
      <c r="G13" s="72"/>
      <c r="H13" s="72"/>
      <c r="I13" s="72"/>
      <c r="J13" s="72"/>
      <c r="K13" s="72"/>
      <c r="L13" s="72"/>
      <c r="M13" s="1"/>
      <c r="N13" s="146" t="s">
        <v>142</v>
      </c>
      <c r="O13" s="147"/>
      <c r="P13" s="16">
        <v>0</v>
      </c>
      <c r="Q13" s="1"/>
      <c r="R13" s="19" t="s">
        <v>112</v>
      </c>
      <c r="S13" s="20">
        <v>1</v>
      </c>
    </row>
    <row r="14" spans="1:19" ht="18.75" customHeight="1">
      <c r="A14" s="144"/>
      <c r="B14" s="6" t="s">
        <v>146</v>
      </c>
      <c r="C14" s="72">
        <v>0</v>
      </c>
      <c r="D14" s="72">
        <v>137</v>
      </c>
      <c r="E14" s="72">
        <v>0</v>
      </c>
      <c r="F14" s="72"/>
      <c r="G14" s="72"/>
      <c r="H14" s="72"/>
      <c r="I14" s="72"/>
      <c r="J14" s="72"/>
      <c r="K14" s="72"/>
      <c r="L14" s="72"/>
      <c r="M14" s="1"/>
      <c r="N14" s="17"/>
      <c r="O14" s="9" t="s">
        <v>309</v>
      </c>
      <c r="P14" s="16">
        <v>0</v>
      </c>
      <c r="Q14" s="1"/>
      <c r="R14" s="19" t="s">
        <v>145</v>
      </c>
      <c r="S14" s="20">
        <v>1.3</v>
      </c>
    </row>
    <row r="15" spans="1:19" ht="18.75" customHeight="1">
      <c r="A15" s="144"/>
      <c r="B15" s="8" t="s">
        <v>148</v>
      </c>
      <c r="C15" s="73">
        <v>1.59</v>
      </c>
      <c r="D15" s="73">
        <v>0.45</v>
      </c>
      <c r="E15" s="73"/>
      <c r="F15" s="73"/>
      <c r="G15" s="73"/>
      <c r="H15" s="73"/>
      <c r="I15" s="73"/>
      <c r="J15" s="73"/>
      <c r="K15" s="73"/>
      <c r="L15" s="73"/>
      <c r="M15" s="1"/>
      <c r="N15" s="17" t="s">
        <v>147</v>
      </c>
      <c r="O15" s="9">
        <v>95</v>
      </c>
      <c r="P15" s="16">
        <v>82</v>
      </c>
      <c r="Q15" s="1"/>
      <c r="R15" s="19"/>
      <c r="S15" s="16"/>
    </row>
    <row r="16" spans="1:19" ht="18.75" customHeight="1">
      <c r="A16" s="144"/>
      <c r="B16" s="6" t="s">
        <v>310</v>
      </c>
      <c r="C16" s="74">
        <v>4718</v>
      </c>
      <c r="D16" s="74">
        <v>3091</v>
      </c>
      <c r="E16" s="74">
        <v>4718</v>
      </c>
      <c r="F16" s="74"/>
      <c r="G16" s="74"/>
      <c r="H16" s="74"/>
      <c r="I16" s="74"/>
      <c r="J16" s="74"/>
      <c r="K16" s="74"/>
      <c r="L16" s="74"/>
      <c r="M16" s="1"/>
      <c r="N16" s="17" t="s">
        <v>147</v>
      </c>
      <c r="O16" s="9">
        <v>140</v>
      </c>
      <c r="P16" s="16">
        <v>107</v>
      </c>
      <c r="Q16" s="1"/>
      <c r="R16" s="13" t="s">
        <v>149</v>
      </c>
      <c r="S16" s="18">
        <f>INDEX($S$12:$S$14,MATCH($C$5,$R$12:$R$14,0))</f>
        <v>1</v>
      </c>
    </row>
    <row r="17" spans="1:19" ht="18.75" customHeight="1">
      <c r="A17" s="144"/>
      <c r="B17" s="6" t="s">
        <v>311</v>
      </c>
      <c r="C17" s="74">
        <v>3549</v>
      </c>
      <c r="D17" s="74">
        <v>3091</v>
      </c>
      <c r="E17" s="74">
        <v>3549</v>
      </c>
      <c r="F17" s="74"/>
      <c r="G17" s="74"/>
      <c r="H17" s="74"/>
      <c r="I17" s="74"/>
      <c r="J17" s="74"/>
      <c r="K17" s="74"/>
      <c r="L17" s="74"/>
      <c r="M17" s="1"/>
      <c r="N17" s="17"/>
      <c r="O17" s="9"/>
      <c r="P17" s="16"/>
      <c r="Q17" s="1"/>
      <c r="R17" s="47"/>
      <c r="S17" s="48"/>
    </row>
    <row r="18" spans="1:19" ht="18.75" customHeight="1">
      <c r="A18" s="144"/>
      <c r="B18" s="6" t="s">
        <v>312</v>
      </c>
      <c r="C18" s="74">
        <v>424</v>
      </c>
      <c r="D18" s="74">
        <v>212</v>
      </c>
      <c r="E18" s="74">
        <v>424</v>
      </c>
      <c r="F18" s="74"/>
      <c r="G18" s="74"/>
      <c r="H18" s="74"/>
      <c r="I18" s="74"/>
      <c r="J18" s="74"/>
      <c r="K18" s="74"/>
      <c r="L18" s="74"/>
      <c r="N18" s="17"/>
      <c r="O18" s="9"/>
      <c r="P18" s="16"/>
      <c r="Q18" s="1"/>
      <c r="R18" s="1"/>
      <c r="S18" s="1"/>
    </row>
    <row r="19" spans="1:19" ht="18.75" customHeight="1">
      <c r="A19" s="144"/>
      <c r="B19" s="6" t="s">
        <v>313</v>
      </c>
      <c r="C19" s="74">
        <v>734</v>
      </c>
      <c r="D19" s="74">
        <v>468</v>
      </c>
      <c r="E19" s="74">
        <v>734</v>
      </c>
      <c r="F19" s="74"/>
      <c r="G19" s="74"/>
      <c r="H19" s="74"/>
      <c r="I19" s="74"/>
      <c r="J19" s="74"/>
      <c r="K19" s="74"/>
      <c r="L19" s="74"/>
      <c r="N19" s="13" t="s">
        <v>154</v>
      </c>
      <c r="O19" s="12">
        <v>111</v>
      </c>
      <c r="P19" s="11">
        <v>22</v>
      </c>
      <c r="Q19" s="1"/>
      <c r="R19" s="45" t="s">
        <v>156</v>
      </c>
      <c r="S19" s="1"/>
    </row>
    <row r="20" spans="1:19" ht="18.75" customHeight="1">
      <c r="A20" s="144"/>
      <c r="B20" s="6" t="s">
        <v>314</v>
      </c>
      <c r="C20" s="74">
        <v>1800</v>
      </c>
      <c r="D20" s="74">
        <v>1800</v>
      </c>
      <c r="E20" s="74">
        <f>1800+690</f>
        <v>2490</v>
      </c>
      <c r="F20" s="74"/>
      <c r="G20" s="74"/>
      <c r="H20" s="74"/>
      <c r="I20" s="74"/>
      <c r="J20" s="74"/>
      <c r="K20" s="74"/>
      <c r="L20" s="74"/>
      <c r="O20" s="1"/>
      <c r="P20" s="1"/>
      <c r="Q20" s="1"/>
      <c r="R20" s="23">
        <v>1</v>
      </c>
      <c r="S20" s="1"/>
    </row>
    <row r="21" spans="1:19" ht="18.75" customHeight="1">
      <c r="A21" s="144"/>
      <c r="B21" s="6" t="s">
        <v>315</v>
      </c>
      <c r="C21" s="74">
        <v>20000</v>
      </c>
      <c r="D21" s="74">
        <v>20000</v>
      </c>
      <c r="E21" s="74">
        <v>20000</v>
      </c>
      <c r="F21" s="74"/>
      <c r="G21" s="74"/>
      <c r="H21" s="74"/>
      <c r="I21" s="74"/>
      <c r="J21" s="74"/>
      <c r="K21" s="74"/>
      <c r="L21" s="74"/>
      <c r="N21" s="24" t="s">
        <v>316</v>
      </c>
      <c r="O21" s="1"/>
      <c r="P21" s="1"/>
      <c r="Q21" s="1"/>
      <c r="R21" s="23">
        <v>2</v>
      </c>
      <c r="S21" s="1"/>
    </row>
    <row r="22" spans="1:19" ht="18.75" customHeight="1" thickBot="1">
      <c r="A22" s="145"/>
      <c r="B22" s="6" t="s">
        <v>317</v>
      </c>
      <c r="C22" s="74"/>
      <c r="D22" s="74"/>
      <c r="E22" s="74"/>
      <c r="F22" s="74"/>
      <c r="G22" s="74"/>
      <c r="H22" s="74"/>
      <c r="I22" s="74"/>
      <c r="J22" s="74"/>
      <c r="K22" s="74"/>
      <c r="L22" s="74"/>
      <c r="M22" s="1"/>
      <c r="N22" s="23" t="s">
        <v>140</v>
      </c>
      <c r="O22" s="1"/>
      <c r="P22" s="1"/>
      <c r="Q22" s="1"/>
      <c r="R22" s="23">
        <v>3</v>
      </c>
      <c r="S22" s="1"/>
    </row>
    <row r="23" spans="1:19" ht="18.75" customHeight="1" thickTop="1">
      <c r="A23" s="117" t="s">
        <v>60</v>
      </c>
      <c r="B23" s="118" t="s">
        <v>318</v>
      </c>
      <c r="C23" s="119">
        <f>ROUND(INDEX(C$164:C$173,$C$4)*0.75,-1)</f>
        <v>97450</v>
      </c>
      <c r="D23" s="119">
        <f t="shared" ref="D23:L23" si="0">ROUND(INDEX(D$164:D$173,$C$4)*0.75,-1)</f>
        <v>80290</v>
      </c>
      <c r="E23" s="119">
        <f t="shared" si="0"/>
        <v>97450</v>
      </c>
      <c r="F23" s="119">
        <f t="shared" si="0"/>
        <v>0</v>
      </c>
      <c r="G23" s="119">
        <f t="shared" si="0"/>
        <v>0</v>
      </c>
      <c r="H23" s="119">
        <f t="shared" si="0"/>
        <v>0</v>
      </c>
      <c r="I23" s="119">
        <f t="shared" si="0"/>
        <v>0</v>
      </c>
      <c r="J23" s="119">
        <f t="shared" si="0"/>
        <v>0</v>
      </c>
      <c r="K23" s="119">
        <f t="shared" si="0"/>
        <v>0</v>
      </c>
      <c r="L23" s="119">
        <f t="shared" si="0"/>
        <v>0</v>
      </c>
      <c r="N23" s="21" t="s">
        <v>141</v>
      </c>
      <c r="R23" s="23">
        <v>4</v>
      </c>
    </row>
    <row r="24" spans="1:19" ht="18.75" customHeight="1">
      <c r="A24" s="143" t="s">
        <v>162</v>
      </c>
      <c r="B24" s="120" t="s">
        <v>319</v>
      </c>
      <c r="C24" s="121">
        <f>ROUND(INDEX(C$164:C$173,$C$4)*0.25,-1)</f>
        <v>32480</v>
      </c>
      <c r="D24" s="121">
        <f t="shared" ref="D24:L24" si="1">ROUND(INDEX(D$164:D$173,$C$4)*0.25,-1)</f>
        <v>26760</v>
      </c>
      <c r="E24" s="121">
        <f t="shared" si="1"/>
        <v>32480</v>
      </c>
      <c r="F24" s="121">
        <f t="shared" si="1"/>
        <v>0</v>
      </c>
      <c r="G24" s="121">
        <f t="shared" si="1"/>
        <v>0</v>
      </c>
      <c r="H24" s="121">
        <f t="shared" si="1"/>
        <v>0</v>
      </c>
      <c r="I24" s="121">
        <f t="shared" si="1"/>
        <v>0</v>
      </c>
      <c r="J24" s="121">
        <f t="shared" si="1"/>
        <v>0</v>
      </c>
      <c r="K24" s="121">
        <f t="shared" si="1"/>
        <v>0</v>
      </c>
      <c r="L24" s="121">
        <f t="shared" si="1"/>
        <v>0</v>
      </c>
      <c r="M24" s="1"/>
      <c r="N24" s="1"/>
      <c r="O24" s="1"/>
      <c r="P24" s="1"/>
      <c r="Q24" s="1"/>
      <c r="R24" s="23">
        <v>5</v>
      </c>
      <c r="S24" s="1"/>
    </row>
    <row r="25" spans="1:19" ht="18.75" customHeight="1">
      <c r="A25" s="143"/>
      <c r="B25" s="122" t="s">
        <v>320</v>
      </c>
      <c r="C25" s="121">
        <f t="shared" ref="C25:L25" si="2">ROUND(C21-C22,-1)</f>
        <v>20000</v>
      </c>
      <c r="D25" s="121">
        <f t="shared" si="2"/>
        <v>20000</v>
      </c>
      <c r="E25" s="121">
        <f t="shared" si="2"/>
        <v>20000</v>
      </c>
      <c r="F25" s="121">
        <f t="shared" si="2"/>
        <v>0</v>
      </c>
      <c r="G25" s="121">
        <f t="shared" si="2"/>
        <v>0</v>
      </c>
      <c r="H25" s="121">
        <f t="shared" si="2"/>
        <v>0</v>
      </c>
      <c r="I25" s="121">
        <f t="shared" si="2"/>
        <v>0</v>
      </c>
      <c r="J25" s="121">
        <f t="shared" si="2"/>
        <v>0</v>
      </c>
      <c r="K25" s="121">
        <f t="shared" si="2"/>
        <v>0</v>
      </c>
      <c r="L25" s="121">
        <f t="shared" si="2"/>
        <v>0</v>
      </c>
      <c r="M25" s="1"/>
      <c r="N25" s="26"/>
      <c r="O25" s="25"/>
      <c r="P25" s="1"/>
      <c r="Q25" s="1"/>
      <c r="R25" s="23">
        <v>6</v>
      </c>
      <c r="S25" s="1"/>
    </row>
    <row r="26" spans="1:19" ht="18.75" customHeight="1">
      <c r="A26" s="143"/>
      <c r="B26" s="122" t="s">
        <v>169</v>
      </c>
      <c r="C26" s="123">
        <f t="shared" ref="C26:L26" si="3">ROUND(INDEX(C$44:C$53,$C$4),-1)</f>
        <v>23630</v>
      </c>
      <c r="D26" s="123">
        <f t="shared" si="3"/>
        <v>63220</v>
      </c>
      <c r="E26" s="123">
        <f t="shared" si="3"/>
        <v>0</v>
      </c>
      <c r="F26" s="123">
        <f t="shared" si="3"/>
        <v>0</v>
      </c>
      <c r="G26" s="123">
        <f t="shared" si="3"/>
        <v>0</v>
      </c>
      <c r="H26" s="123">
        <f t="shared" si="3"/>
        <v>0</v>
      </c>
      <c r="I26" s="123">
        <f t="shared" si="3"/>
        <v>0</v>
      </c>
      <c r="J26" s="123">
        <f t="shared" si="3"/>
        <v>0</v>
      </c>
      <c r="K26" s="123">
        <f t="shared" si="3"/>
        <v>0</v>
      </c>
      <c r="L26" s="123">
        <f t="shared" si="3"/>
        <v>0</v>
      </c>
      <c r="M26" s="1"/>
      <c r="N26" s="13"/>
      <c r="O26" s="11"/>
      <c r="P26" s="1"/>
      <c r="Q26" s="1"/>
      <c r="R26" s="23">
        <v>7</v>
      </c>
      <c r="S26" s="1"/>
    </row>
    <row r="27" spans="1:19" ht="18.75" customHeight="1">
      <c r="A27" s="143"/>
      <c r="B27" s="122" t="s">
        <v>321</v>
      </c>
      <c r="C27" s="123">
        <f t="shared" ref="C27:L27" si="4">ROUND(IF(C23=0,0,INDEX(C$64:C$73,$C$4)+IF(C$12=$N$22,INDEX(C$84:C$93,$C$4),INDEX(C$104:C$113,$C$4))),-1)</f>
        <v>1040</v>
      </c>
      <c r="D27" s="123">
        <f t="shared" si="4"/>
        <v>17050</v>
      </c>
      <c r="E27" s="123">
        <f t="shared" si="4"/>
        <v>1040</v>
      </c>
      <c r="F27" s="123">
        <f t="shared" si="4"/>
        <v>0</v>
      </c>
      <c r="G27" s="123">
        <f t="shared" si="4"/>
        <v>0</v>
      </c>
      <c r="H27" s="123">
        <f t="shared" si="4"/>
        <v>0</v>
      </c>
      <c r="I27" s="123">
        <f t="shared" si="4"/>
        <v>0</v>
      </c>
      <c r="J27" s="123">
        <f t="shared" si="4"/>
        <v>0</v>
      </c>
      <c r="K27" s="123">
        <f t="shared" si="4"/>
        <v>0</v>
      </c>
      <c r="L27" s="123">
        <f t="shared" si="4"/>
        <v>0</v>
      </c>
      <c r="M27" s="1"/>
      <c r="N27" s="1"/>
      <c r="O27" s="1"/>
      <c r="P27" s="1"/>
      <c r="Q27" s="1"/>
      <c r="R27" s="23">
        <v>8</v>
      </c>
      <c r="S27" s="1"/>
    </row>
    <row r="28" spans="1:19" ht="18.75" customHeight="1">
      <c r="A28" s="143"/>
      <c r="B28" s="122" t="s">
        <v>322</v>
      </c>
      <c r="C28" s="121">
        <f t="shared" ref="C28:L28" si="5">ROUND(INDEX(C124:C133,$C$4),-1)</f>
        <v>14680</v>
      </c>
      <c r="D28" s="121">
        <f t="shared" si="5"/>
        <v>7340</v>
      </c>
      <c r="E28" s="121">
        <f t="shared" si="5"/>
        <v>14680</v>
      </c>
      <c r="F28" s="121">
        <f t="shared" si="5"/>
        <v>0</v>
      </c>
      <c r="G28" s="121">
        <f t="shared" si="5"/>
        <v>0</v>
      </c>
      <c r="H28" s="121">
        <f t="shared" si="5"/>
        <v>0</v>
      </c>
      <c r="I28" s="121">
        <f t="shared" si="5"/>
        <v>0</v>
      </c>
      <c r="J28" s="121">
        <f t="shared" si="5"/>
        <v>0</v>
      </c>
      <c r="K28" s="121">
        <f t="shared" si="5"/>
        <v>0</v>
      </c>
      <c r="L28" s="121">
        <f t="shared" si="5"/>
        <v>0</v>
      </c>
      <c r="M28" s="1"/>
      <c r="N28" s="1"/>
      <c r="O28" s="1"/>
      <c r="P28" s="1"/>
      <c r="Q28" s="1"/>
      <c r="R28" s="23">
        <v>9</v>
      </c>
      <c r="S28" s="1"/>
    </row>
    <row r="29" spans="1:19" ht="18.75" customHeight="1" thickBot="1">
      <c r="A29" s="143"/>
      <c r="B29" s="124" t="s">
        <v>323</v>
      </c>
      <c r="C29" s="125">
        <f t="shared" ref="C29:L29" si="6">ROUND(INDEX(C144:C153,$C$4),-1)</f>
        <v>62340</v>
      </c>
      <c r="D29" s="125">
        <f t="shared" si="6"/>
        <v>62340</v>
      </c>
      <c r="E29" s="125">
        <f t="shared" si="6"/>
        <v>86240</v>
      </c>
      <c r="F29" s="125">
        <f t="shared" si="6"/>
        <v>0</v>
      </c>
      <c r="G29" s="125">
        <f t="shared" si="6"/>
        <v>0</v>
      </c>
      <c r="H29" s="125">
        <f t="shared" si="6"/>
        <v>0</v>
      </c>
      <c r="I29" s="125">
        <f t="shared" si="6"/>
        <v>0</v>
      </c>
      <c r="J29" s="125">
        <f t="shared" si="6"/>
        <v>0</v>
      </c>
      <c r="K29" s="125">
        <f t="shared" si="6"/>
        <v>0</v>
      </c>
      <c r="L29" s="125">
        <f t="shared" si="6"/>
        <v>0</v>
      </c>
      <c r="M29" s="1"/>
      <c r="N29" s="1"/>
      <c r="O29" s="1"/>
      <c r="P29" s="1"/>
      <c r="Q29" s="1"/>
      <c r="R29" s="21">
        <v>10</v>
      </c>
      <c r="S29" s="1"/>
    </row>
    <row r="30" spans="1:19" ht="18.75" customHeight="1">
      <c r="A30" s="143"/>
      <c r="B30" s="126" t="s">
        <v>161</v>
      </c>
      <c r="C30" s="127">
        <f t="shared" ref="C30:L30" si="7">ROUND(SUM(C23:C29),-1)</f>
        <v>251620</v>
      </c>
      <c r="D30" s="127">
        <f t="shared" si="7"/>
        <v>277000</v>
      </c>
      <c r="E30" s="127">
        <f t="shared" si="7"/>
        <v>251890</v>
      </c>
      <c r="F30" s="127">
        <f t="shared" si="7"/>
        <v>0</v>
      </c>
      <c r="G30" s="127">
        <f t="shared" si="7"/>
        <v>0</v>
      </c>
      <c r="H30" s="127">
        <f t="shared" si="7"/>
        <v>0</v>
      </c>
      <c r="I30" s="127">
        <f t="shared" si="7"/>
        <v>0</v>
      </c>
      <c r="J30" s="127">
        <f t="shared" si="7"/>
        <v>0</v>
      </c>
      <c r="K30" s="127">
        <f t="shared" si="7"/>
        <v>0</v>
      </c>
      <c r="L30" s="127">
        <f t="shared" si="7"/>
        <v>0</v>
      </c>
      <c r="M30" s="1"/>
      <c r="N30" s="1"/>
      <c r="O30" s="1"/>
      <c r="P30" s="1"/>
      <c r="Q30" s="1"/>
      <c r="S30" s="1"/>
    </row>
    <row r="31" spans="1:19" ht="18.75" customHeight="1">
      <c r="A31" s="143"/>
      <c r="B31" s="128" t="s">
        <v>163</v>
      </c>
      <c r="C31" s="129">
        <f t="shared" ref="C31:L31" si="8">ROUND(C30/$C$4/12,-1)</f>
        <v>6990</v>
      </c>
      <c r="D31" s="129">
        <f t="shared" si="8"/>
        <v>7690</v>
      </c>
      <c r="E31" s="129">
        <f t="shared" si="8"/>
        <v>7000</v>
      </c>
      <c r="F31" s="129">
        <f t="shared" si="8"/>
        <v>0</v>
      </c>
      <c r="G31" s="129">
        <f t="shared" si="8"/>
        <v>0</v>
      </c>
      <c r="H31" s="129">
        <f t="shared" si="8"/>
        <v>0</v>
      </c>
      <c r="I31" s="129">
        <f t="shared" si="8"/>
        <v>0</v>
      </c>
      <c r="J31" s="129">
        <f t="shared" si="8"/>
        <v>0</v>
      </c>
      <c r="K31" s="129">
        <f t="shared" si="8"/>
        <v>0</v>
      </c>
      <c r="L31" s="129">
        <f t="shared" si="8"/>
        <v>0</v>
      </c>
      <c r="M31" s="1"/>
      <c r="N31" s="1"/>
      <c r="O31" s="1"/>
      <c r="P31" s="1"/>
      <c r="Q31" s="1"/>
      <c r="S31" s="1"/>
    </row>
    <row r="32" spans="1:19" ht="18.75" customHeight="1">
      <c r="A32" s="143"/>
      <c r="B32" s="128" t="s">
        <v>165</v>
      </c>
      <c r="C32" s="129">
        <f t="shared" ref="C32:L32" si="9">C30/$C$3/$C$4</f>
        <v>24.431498203709097</v>
      </c>
      <c r="D32" s="129">
        <f t="shared" si="9"/>
        <v>26.895815127682297</v>
      </c>
      <c r="E32" s="129">
        <f t="shared" si="9"/>
        <v>24.457714341198173</v>
      </c>
      <c r="F32" s="129">
        <f t="shared" si="9"/>
        <v>0</v>
      </c>
      <c r="G32" s="129">
        <f t="shared" si="9"/>
        <v>0</v>
      </c>
      <c r="H32" s="129">
        <f t="shared" si="9"/>
        <v>0</v>
      </c>
      <c r="I32" s="129">
        <f t="shared" si="9"/>
        <v>0</v>
      </c>
      <c r="J32" s="129">
        <f t="shared" si="9"/>
        <v>0</v>
      </c>
      <c r="K32" s="129">
        <f t="shared" si="9"/>
        <v>0</v>
      </c>
      <c r="L32" s="129">
        <f t="shared" si="9"/>
        <v>0</v>
      </c>
      <c r="M32" s="1"/>
      <c r="N32" s="1"/>
      <c r="O32" s="1"/>
      <c r="P32" s="1"/>
      <c r="Q32" s="1"/>
      <c r="R32" s="1"/>
      <c r="S32" s="1"/>
    </row>
    <row r="33" spans="1:19" ht="18.75" customHeight="1">
      <c r="A33" s="130"/>
      <c r="B33" s="131"/>
      <c r="C33" s="132"/>
      <c r="D33" s="132"/>
      <c r="E33" s="132"/>
      <c r="F33" s="132"/>
      <c r="G33" s="132"/>
      <c r="H33" s="132"/>
      <c r="I33" s="132"/>
      <c r="J33" s="132"/>
      <c r="K33" s="132"/>
      <c r="L33" s="132"/>
      <c r="M33" s="1"/>
      <c r="N33" s="1"/>
      <c r="O33" s="1"/>
      <c r="P33" s="1"/>
      <c r="Q33" s="1"/>
      <c r="R33" s="1"/>
      <c r="S33" s="1"/>
    </row>
    <row r="34" spans="1:19" ht="18.75" hidden="1" customHeight="1">
      <c r="A34" s="2"/>
      <c r="B34" s="1" t="s">
        <v>180</v>
      </c>
      <c r="C34" s="5">
        <f t="shared" ref="C34:L34" si="10">IFERROR($C$3*C$15*INDEX($F$3:$F$9,MATCH(C$13,$E$3:$E$9,0))*$S$16,0)</f>
        <v>8187.7049999999999</v>
      </c>
      <c r="D34" s="5">
        <f t="shared" si="10"/>
        <v>21905.973000000002</v>
      </c>
      <c r="E34" s="5">
        <f t="shared" si="10"/>
        <v>0</v>
      </c>
      <c r="F34" s="5">
        <f t="shared" si="10"/>
        <v>0</v>
      </c>
      <c r="G34" s="5">
        <f t="shared" si="10"/>
        <v>0</v>
      </c>
      <c r="H34" s="5">
        <f t="shared" si="10"/>
        <v>0</v>
      </c>
      <c r="I34" s="5">
        <f t="shared" si="10"/>
        <v>0</v>
      </c>
      <c r="J34" s="5">
        <f t="shared" si="10"/>
        <v>0</v>
      </c>
      <c r="K34" s="5">
        <f t="shared" si="10"/>
        <v>0</v>
      </c>
      <c r="L34" s="5">
        <f t="shared" si="10"/>
        <v>0</v>
      </c>
      <c r="M34" s="1"/>
      <c r="N34" s="1"/>
      <c r="O34" s="1"/>
      <c r="P34" s="1"/>
      <c r="Q34" s="1"/>
      <c r="R34" s="1"/>
      <c r="S34" s="1"/>
    </row>
    <row r="35" spans="1:19" ht="18.75" hidden="1" customHeight="1">
      <c r="A35" s="2"/>
      <c r="B35" s="1" t="s">
        <v>181</v>
      </c>
      <c r="C35" s="1">
        <f t="shared" ref="C35:L44" si="11">C$34</f>
        <v>8187.7049999999999</v>
      </c>
      <c r="D35" s="1">
        <f t="shared" si="11"/>
        <v>21905.973000000002</v>
      </c>
      <c r="E35" s="1">
        <f t="shared" si="11"/>
        <v>0</v>
      </c>
      <c r="F35" s="1">
        <f t="shared" si="11"/>
        <v>0</v>
      </c>
      <c r="G35" s="1">
        <f t="shared" si="11"/>
        <v>0</v>
      </c>
      <c r="H35" s="1">
        <f t="shared" si="11"/>
        <v>0</v>
      </c>
      <c r="I35" s="1">
        <f t="shared" si="11"/>
        <v>0</v>
      </c>
      <c r="J35" s="1">
        <f t="shared" si="11"/>
        <v>0</v>
      </c>
      <c r="K35" s="1">
        <f t="shared" si="11"/>
        <v>0</v>
      </c>
      <c r="L35" s="1">
        <f t="shared" si="11"/>
        <v>0</v>
      </c>
      <c r="M35" s="1"/>
      <c r="N35" s="1"/>
      <c r="O35" s="1"/>
      <c r="P35" s="1"/>
      <c r="Q35" s="1"/>
      <c r="R35" s="1"/>
      <c r="S35" s="1"/>
    </row>
    <row r="36" spans="1:19" ht="18.75" hidden="1" customHeight="1">
      <c r="A36" s="2"/>
      <c r="B36" s="1" t="s">
        <v>182</v>
      </c>
      <c r="C36" s="1">
        <f t="shared" si="11"/>
        <v>8187.7049999999999</v>
      </c>
      <c r="D36" s="1">
        <f t="shared" si="11"/>
        <v>21905.973000000002</v>
      </c>
      <c r="E36" s="1">
        <f t="shared" si="11"/>
        <v>0</v>
      </c>
      <c r="F36" s="1">
        <f t="shared" si="11"/>
        <v>0</v>
      </c>
      <c r="G36" s="1">
        <f t="shared" si="11"/>
        <v>0</v>
      </c>
      <c r="H36" s="1">
        <f t="shared" si="11"/>
        <v>0</v>
      </c>
      <c r="I36" s="1">
        <f t="shared" si="11"/>
        <v>0</v>
      </c>
      <c r="J36" s="1">
        <f t="shared" si="11"/>
        <v>0</v>
      </c>
      <c r="K36" s="1">
        <f t="shared" si="11"/>
        <v>0</v>
      </c>
      <c r="L36" s="1">
        <f t="shared" si="11"/>
        <v>0</v>
      </c>
      <c r="M36" s="1"/>
      <c r="N36" s="1"/>
      <c r="O36" s="1"/>
      <c r="P36" s="1"/>
      <c r="Q36" s="1"/>
      <c r="R36" s="1"/>
      <c r="S36" s="1"/>
    </row>
    <row r="37" spans="1:19" ht="18.75" hidden="1" customHeight="1">
      <c r="A37" s="2"/>
      <c r="B37" s="1" t="s">
        <v>183</v>
      </c>
      <c r="C37" s="1">
        <f t="shared" si="11"/>
        <v>8187.7049999999999</v>
      </c>
      <c r="D37" s="1">
        <f t="shared" si="11"/>
        <v>21905.973000000002</v>
      </c>
      <c r="E37" s="1">
        <f t="shared" si="11"/>
        <v>0</v>
      </c>
      <c r="F37" s="1">
        <f t="shared" si="11"/>
        <v>0</v>
      </c>
      <c r="G37" s="1">
        <f t="shared" si="11"/>
        <v>0</v>
      </c>
      <c r="H37" s="1">
        <f t="shared" si="11"/>
        <v>0</v>
      </c>
      <c r="I37" s="1">
        <f t="shared" si="11"/>
        <v>0</v>
      </c>
      <c r="J37" s="1">
        <f t="shared" si="11"/>
        <v>0</v>
      </c>
      <c r="K37" s="1">
        <f t="shared" si="11"/>
        <v>0</v>
      </c>
      <c r="L37" s="1">
        <f t="shared" si="11"/>
        <v>0</v>
      </c>
      <c r="M37" s="1"/>
      <c r="N37" s="1"/>
      <c r="O37" s="1"/>
      <c r="P37" s="1"/>
      <c r="Q37" s="1"/>
      <c r="R37" s="1"/>
      <c r="S37" s="1"/>
    </row>
    <row r="38" spans="1:19" ht="18.75" hidden="1" customHeight="1">
      <c r="A38" s="2"/>
      <c r="B38" s="1" t="s">
        <v>184</v>
      </c>
      <c r="C38" s="1">
        <f t="shared" si="11"/>
        <v>8187.7049999999999</v>
      </c>
      <c r="D38" s="1">
        <f t="shared" si="11"/>
        <v>21905.973000000002</v>
      </c>
      <c r="E38" s="1">
        <f t="shared" si="11"/>
        <v>0</v>
      </c>
      <c r="F38" s="1">
        <f t="shared" si="11"/>
        <v>0</v>
      </c>
      <c r="G38" s="1">
        <f t="shared" si="11"/>
        <v>0</v>
      </c>
      <c r="H38" s="1">
        <f t="shared" si="11"/>
        <v>0</v>
      </c>
      <c r="I38" s="1">
        <f t="shared" si="11"/>
        <v>0</v>
      </c>
      <c r="J38" s="1">
        <f t="shared" si="11"/>
        <v>0</v>
      </c>
      <c r="K38" s="1">
        <f t="shared" si="11"/>
        <v>0</v>
      </c>
      <c r="L38" s="1">
        <f t="shared" si="11"/>
        <v>0</v>
      </c>
      <c r="M38" s="1"/>
      <c r="N38" s="1"/>
      <c r="O38" s="1"/>
      <c r="P38" s="1"/>
      <c r="Q38" s="1"/>
      <c r="R38" s="1"/>
      <c r="S38" s="1"/>
    </row>
    <row r="39" spans="1:19" ht="18.75" hidden="1" customHeight="1">
      <c r="A39" s="2"/>
      <c r="B39" s="1" t="s">
        <v>185</v>
      </c>
      <c r="C39" s="1">
        <f t="shared" si="11"/>
        <v>8187.7049999999999</v>
      </c>
      <c r="D39" s="1">
        <f t="shared" si="11"/>
        <v>21905.973000000002</v>
      </c>
      <c r="E39" s="1">
        <f t="shared" si="11"/>
        <v>0</v>
      </c>
      <c r="F39" s="1">
        <f t="shared" si="11"/>
        <v>0</v>
      </c>
      <c r="G39" s="1">
        <f t="shared" si="11"/>
        <v>0</v>
      </c>
      <c r="H39" s="1">
        <f t="shared" si="11"/>
        <v>0</v>
      </c>
      <c r="I39" s="1">
        <f t="shared" si="11"/>
        <v>0</v>
      </c>
      <c r="J39" s="1">
        <f t="shared" si="11"/>
        <v>0</v>
      </c>
      <c r="K39" s="1">
        <f t="shared" si="11"/>
        <v>0</v>
      </c>
      <c r="L39" s="1">
        <f t="shared" si="11"/>
        <v>0</v>
      </c>
      <c r="M39" s="1"/>
      <c r="N39" s="1"/>
      <c r="O39" s="1"/>
      <c r="P39" s="1"/>
      <c r="Q39" s="1"/>
      <c r="R39" s="1"/>
      <c r="S39" s="1"/>
    </row>
    <row r="40" spans="1:19" ht="18.75" hidden="1" customHeight="1">
      <c r="A40" s="2"/>
      <c r="B40" s="1" t="s">
        <v>187</v>
      </c>
      <c r="C40" s="1">
        <f t="shared" si="11"/>
        <v>8187.7049999999999</v>
      </c>
      <c r="D40" s="1">
        <f t="shared" si="11"/>
        <v>21905.973000000002</v>
      </c>
      <c r="E40" s="1">
        <f t="shared" si="11"/>
        <v>0</v>
      </c>
      <c r="F40" s="1">
        <f t="shared" si="11"/>
        <v>0</v>
      </c>
      <c r="G40" s="1">
        <f t="shared" si="11"/>
        <v>0</v>
      </c>
      <c r="H40" s="1">
        <f t="shared" si="11"/>
        <v>0</v>
      </c>
      <c r="I40" s="1">
        <f t="shared" si="11"/>
        <v>0</v>
      </c>
      <c r="J40" s="1">
        <f t="shared" si="11"/>
        <v>0</v>
      </c>
      <c r="K40" s="1">
        <f t="shared" si="11"/>
        <v>0</v>
      </c>
      <c r="L40" s="1">
        <f t="shared" si="11"/>
        <v>0</v>
      </c>
      <c r="M40" s="1"/>
      <c r="N40" s="1"/>
      <c r="O40" s="1"/>
      <c r="P40" s="1"/>
      <c r="Q40" s="1"/>
      <c r="R40" s="1"/>
      <c r="S40" s="1"/>
    </row>
    <row r="41" spans="1:19" ht="18.75" hidden="1" customHeight="1">
      <c r="A41" s="2"/>
      <c r="B41" s="1" t="s">
        <v>189</v>
      </c>
      <c r="C41" s="1">
        <f t="shared" si="11"/>
        <v>8187.7049999999999</v>
      </c>
      <c r="D41" s="1">
        <f t="shared" si="11"/>
        <v>21905.973000000002</v>
      </c>
      <c r="E41" s="1">
        <f t="shared" si="11"/>
        <v>0</v>
      </c>
      <c r="F41" s="1">
        <f t="shared" si="11"/>
        <v>0</v>
      </c>
      <c r="G41" s="1">
        <f t="shared" si="11"/>
        <v>0</v>
      </c>
      <c r="H41" s="1">
        <f t="shared" si="11"/>
        <v>0</v>
      </c>
      <c r="I41" s="1">
        <f t="shared" si="11"/>
        <v>0</v>
      </c>
      <c r="J41" s="1">
        <f t="shared" si="11"/>
        <v>0</v>
      </c>
      <c r="K41" s="1">
        <f t="shared" si="11"/>
        <v>0</v>
      </c>
      <c r="L41" s="1">
        <f t="shared" si="11"/>
        <v>0</v>
      </c>
      <c r="M41" s="1"/>
      <c r="N41" s="1"/>
      <c r="O41" s="1"/>
      <c r="P41" s="1"/>
      <c r="Q41" s="1"/>
      <c r="R41" s="1"/>
      <c r="S41" s="1"/>
    </row>
    <row r="42" spans="1:19" ht="18.75" hidden="1" customHeight="1">
      <c r="A42" s="2"/>
      <c r="B42" s="1" t="s">
        <v>190</v>
      </c>
      <c r="C42" s="1">
        <f t="shared" si="11"/>
        <v>8187.7049999999999</v>
      </c>
      <c r="D42" s="1">
        <f t="shared" si="11"/>
        <v>21905.973000000002</v>
      </c>
      <c r="E42" s="1">
        <f t="shared" si="11"/>
        <v>0</v>
      </c>
      <c r="F42" s="1">
        <f t="shared" si="11"/>
        <v>0</v>
      </c>
      <c r="G42" s="1">
        <f t="shared" si="11"/>
        <v>0</v>
      </c>
      <c r="H42" s="1">
        <f t="shared" si="11"/>
        <v>0</v>
      </c>
      <c r="I42" s="1">
        <f t="shared" si="11"/>
        <v>0</v>
      </c>
      <c r="J42" s="1">
        <f t="shared" si="11"/>
        <v>0</v>
      </c>
      <c r="K42" s="1">
        <f t="shared" si="11"/>
        <v>0</v>
      </c>
      <c r="L42" s="1">
        <f t="shared" si="11"/>
        <v>0</v>
      </c>
      <c r="M42" s="1"/>
      <c r="N42" s="1"/>
      <c r="O42" s="1"/>
      <c r="P42" s="1"/>
      <c r="Q42" s="1"/>
      <c r="R42" s="1"/>
      <c r="S42" s="1"/>
    </row>
    <row r="43" spans="1:19" ht="18.75" hidden="1" customHeight="1">
      <c r="A43" s="2"/>
      <c r="B43" s="12" t="s">
        <v>191</v>
      </c>
      <c r="C43" s="12">
        <f t="shared" si="11"/>
        <v>8187.7049999999999</v>
      </c>
      <c r="D43" s="12">
        <f t="shared" si="11"/>
        <v>21905.973000000002</v>
      </c>
      <c r="E43" s="12">
        <f t="shared" si="11"/>
        <v>0</v>
      </c>
      <c r="F43" s="12">
        <f t="shared" si="11"/>
        <v>0</v>
      </c>
      <c r="G43" s="12">
        <f t="shared" si="11"/>
        <v>0</v>
      </c>
      <c r="H43" s="12">
        <f t="shared" si="11"/>
        <v>0</v>
      </c>
      <c r="I43" s="12">
        <f t="shared" si="11"/>
        <v>0</v>
      </c>
      <c r="J43" s="12">
        <f t="shared" si="11"/>
        <v>0</v>
      </c>
      <c r="K43" s="12">
        <f t="shared" si="11"/>
        <v>0</v>
      </c>
      <c r="L43" s="12">
        <f t="shared" si="11"/>
        <v>0</v>
      </c>
      <c r="M43" s="1"/>
      <c r="N43" s="1"/>
      <c r="O43" s="1"/>
      <c r="P43" s="1"/>
      <c r="Q43" s="1"/>
      <c r="R43" s="1"/>
      <c r="S43" s="1"/>
    </row>
    <row r="44" spans="1:19" ht="18.75" hidden="1" customHeight="1">
      <c r="A44" s="2"/>
      <c r="B44" s="1" t="s">
        <v>192</v>
      </c>
      <c r="C44" s="4">
        <f t="shared" si="11"/>
        <v>8187.7049999999999</v>
      </c>
      <c r="D44" s="4">
        <f t="shared" si="11"/>
        <v>21905.973000000002</v>
      </c>
      <c r="E44" s="4">
        <f t="shared" si="11"/>
        <v>0</v>
      </c>
      <c r="F44" s="4">
        <f t="shared" si="11"/>
        <v>0</v>
      </c>
      <c r="G44" s="4">
        <f t="shared" si="11"/>
        <v>0</v>
      </c>
      <c r="H44" s="4">
        <f t="shared" si="11"/>
        <v>0</v>
      </c>
      <c r="I44" s="4">
        <f t="shared" si="11"/>
        <v>0</v>
      </c>
      <c r="J44" s="4">
        <f t="shared" si="11"/>
        <v>0</v>
      </c>
      <c r="K44" s="4">
        <f t="shared" si="11"/>
        <v>0</v>
      </c>
      <c r="L44" s="4">
        <f t="shared" si="11"/>
        <v>0</v>
      </c>
      <c r="M44" s="1"/>
      <c r="N44" s="1"/>
      <c r="O44" s="1"/>
      <c r="P44" s="1"/>
      <c r="Q44" s="1"/>
      <c r="R44" s="1"/>
      <c r="S44" s="1"/>
    </row>
    <row r="45" spans="1:19" ht="18.75" hidden="1" customHeight="1">
      <c r="A45" s="2"/>
      <c r="B45" s="1" t="s">
        <v>193</v>
      </c>
      <c r="C45" s="4">
        <f t="shared" ref="C45:L45" si="12">C$34+NPV($J$2,C35)</f>
        <v>16060.498269230768</v>
      </c>
      <c r="D45" s="4">
        <f t="shared" si="12"/>
        <v>42969.408576923081</v>
      </c>
      <c r="E45" s="4">
        <f t="shared" si="12"/>
        <v>0</v>
      </c>
      <c r="F45" s="4">
        <f t="shared" si="12"/>
        <v>0</v>
      </c>
      <c r="G45" s="4">
        <f t="shared" si="12"/>
        <v>0</v>
      </c>
      <c r="H45" s="4">
        <f t="shared" si="12"/>
        <v>0</v>
      </c>
      <c r="I45" s="4">
        <f t="shared" si="12"/>
        <v>0</v>
      </c>
      <c r="J45" s="4">
        <f t="shared" si="12"/>
        <v>0</v>
      </c>
      <c r="K45" s="4">
        <f t="shared" si="12"/>
        <v>0</v>
      </c>
      <c r="L45" s="4">
        <f t="shared" si="12"/>
        <v>0</v>
      </c>
      <c r="M45" s="1"/>
      <c r="N45" s="1"/>
      <c r="O45" s="1"/>
      <c r="P45" s="1"/>
      <c r="Q45" s="1"/>
      <c r="R45" s="1"/>
      <c r="S45" s="1"/>
    </row>
    <row r="46" spans="1:19" ht="18.75" hidden="1" customHeight="1">
      <c r="A46" s="2"/>
      <c r="B46" s="1" t="s">
        <v>194</v>
      </c>
      <c r="C46" s="4">
        <f t="shared" ref="C46:L46" si="13">C$34+NPV($J$2,C35:C36)</f>
        <v>23630.491797337276</v>
      </c>
      <c r="D46" s="4">
        <f t="shared" si="13"/>
        <v>63222.712016272199</v>
      </c>
      <c r="E46" s="4">
        <f t="shared" si="13"/>
        <v>0</v>
      </c>
      <c r="F46" s="4">
        <f t="shared" si="13"/>
        <v>0</v>
      </c>
      <c r="G46" s="4">
        <f t="shared" si="13"/>
        <v>0</v>
      </c>
      <c r="H46" s="4">
        <f t="shared" si="13"/>
        <v>0</v>
      </c>
      <c r="I46" s="4">
        <f t="shared" si="13"/>
        <v>0</v>
      </c>
      <c r="J46" s="4">
        <f t="shared" si="13"/>
        <v>0</v>
      </c>
      <c r="K46" s="4">
        <f t="shared" si="13"/>
        <v>0</v>
      </c>
      <c r="L46" s="4">
        <f t="shared" si="13"/>
        <v>0</v>
      </c>
      <c r="M46" s="1"/>
      <c r="N46" s="1"/>
      <c r="O46" s="1"/>
      <c r="P46" s="1"/>
      <c r="Q46" s="1"/>
      <c r="R46" s="1"/>
      <c r="S46" s="1"/>
    </row>
    <row r="47" spans="1:19" ht="18.75" hidden="1" customHeight="1">
      <c r="A47" s="2"/>
      <c r="B47" s="1" t="s">
        <v>195</v>
      </c>
      <c r="C47" s="4">
        <f t="shared" ref="C47:L47" si="14">C$34+NPV($J$2,C35:C37)</f>
        <v>30909.331728208919</v>
      </c>
      <c r="D47" s="4">
        <f t="shared" si="14"/>
        <v>82697.042246415571</v>
      </c>
      <c r="E47" s="4">
        <f t="shared" si="14"/>
        <v>0</v>
      </c>
      <c r="F47" s="4">
        <f t="shared" si="14"/>
        <v>0</v>
      </c>
      <c r="G47" s="4">
        <f t="shared" si="14"/>
        <v>0</v>
      </c>
      <c r="H47" s="4">
        <f t="shared" si="14"/>
        <v>0</v>
      </c>
      <c r="I47" s="4">
        <f t="shared" si="14"/>
        <v>0</v>
      </c>
      <c r="J47" s="4">
        <f t="shared" si="14"/>
        <v>0</v>
      </c>
      <c r="K47" s="4">
        <f t="shared" si="14"/>
        <v>0</v>
      </c>
      <c r="L47" s="4">
        <f t="shared" si="14"/>
        <v>0</v>
      </c>
      <c r="M47" s="1"/>
      <c r="N47" s="1"/>
      <c r="O47" s="1"/>
      <c r="P47" s="1"/>
      <c r="Q47" s="1"/>
      <c r="R47" s="1"/>
      <c r="S47" s="1"/>
    </row>
    <row r="48" spans="1:19" ht="18.75" hidden="1" customHeight="1">
      <c r="A48" s="2"/>
      <c r="B48" s="1" t="s">
        <v>196</v>
      </c>
      <c r="C48" s="4">
        <f t="shared" ref="C48:L48" si="15">C$34+NPV($J$2,C35:C38)</f>
        <v>37908.21627712396</v>
      </c>
      <c r="D48" s="4">
        <f t="shared" si="15"/>
        <v>101422.35977539959</v>
      </c>
      <c r="E48" s="4">
        <f t="shared" si="15"/>
        <v>0</v>
      </c>
      <c r="F48" s="4">
        <f t="shared" si="15"/>
        <v>0</v>
      </c>
      <c r="G48" s="4">
        <f t="shared" si="15"/>
        <v>0</v>
      </c>
      <c r="H48" s="4">
        <f t="shared" si="15"/>
        <v>0</v>
      </c>
      <c r="I48" s="4">
        <f t="shared" si="15"/>
        <v>0</v>
      </c>
      <c r="J48" s="4">
        <f t="shared" si="15"/>
        <v>0</v>
      </c>
      <c r="K48" s="4">
        <f t="shared" si="15"/>
        <v>0</v>
      </c>
      <c r="L48" s="4">
        <f t="shared" si="15"/>
        <v>0</v>
      </c>
      <c r="M48" s="1"/>
      <c r="N48" s="1"/>
      <c r="O48" s="1"/>
      <c r="P48" s="1"/>
      <c r="Q48" s="1"/>
      <c r="R48" s="1"/>
      <c r="S48" s="1"/>
    </row>
    <row r="49" spans="1:19" ht="18.75" hidden="1" customHeight="1">
      <c r="A49" s="2"/>
      <c r="B49" s="1" t="s">
        <v>197</v>
      </c>
      <c r="C49" s="4">
        <f t="shared" ref="C49:L49" si="16">C$34+NPV($J$2,C35:C39)</f>
        <v>44637.912958773042</v>
      </c>
      <c r="D49" s="4">
        <f t="shared" si="16"/>
        <v>119427.47278403805</v>
      </c>
      <c r="E49" s="4">
        <f t="shared" si="16"/>
        <v>0</v>
      </c>
      <c r="F49" s="4">
        <f t="shared" si="16"/>
        <v>0</v>
      </c>
      <c r="G49" s="4">
        <f t="shared" si="16"/>
        <v>0</v>
      </c>
      <c r="H49" s="4">
        <f t="shared" si="16"/>
        <v>0</v>
      </c>
      <c r="I49" s="4">
        <f t="shared" si="16"/>
        <v>0</v>
      </c>
      <c r="J49" s="4">
        <f t="shared" si="16"/>
        <v>0</v>
      </c>
      <c r="K49" s="4">
        <f t="shared" si="16"/>
        <v>0</v>
      </c>
      <c r="L49" s="4">
        <f t="shared" si="16"/>
        <v>0</v>
      </c>
      <c r="M49" s="1"/>
      <c r="N49" s="1"/>
      <c r="O49" s="1"/>
      <c r="P49" s="1"/>
      <c r="Q49" s="1"/>
      <c r="R49" s="1"/>
      <c r="S49" s="1"/>
    </row>
    <row r="50" spans="1:19" ht="18.75" hidden="1" customHeight="1">
      <c r="A50" s="2"/>
      <c r="B50" s="1" t="s">
        <v>198</v>
      </c>
      <c r="C50" s="4">
        <f t="shared" ref="C50:L50" si="17">C$34+NPV($J$2,C35:C40)</f>
        <v>51108.775152666378</v>
      </c>
      <c r="D50" s="4">
        <f t="shared" si="17"/>
        <v>136740.08144619042</v>
      </c>
      <c r="E50" s="4">
        <f t="shared" si="17"/>
        <v>0</v>
      </c>
      <c r="F50" s="4">
        <f t="shared" si="17"/>
        <v>0</v>
      </c>
      <c r="G50" s="4">
        <f t="shared" si="17"/>
        <v>0</v>
      </c>
      <c r="H50" s="4">
        <f t="shared" si="17"/>
        <v>0</v>
      </c>
      <c r="I50" s="4">
        <f t="shared" si="17"/>
        <v>0</v>
      </c>
      <c r="J50" s="4">
        <f t="shared" si="17"/>
        <v>0</v>
      </c>
      <c r="K50" s="4">
        <f t="shared" si="17"/>
        <v>0</v>
      </c>
      <c r="L50" s="4">
        <f t="shared" si="17"/>
        <v>0</v>
      </c>
      <c r="M50" s="1"/>
      <c r="N50" s="1"/>
      <c r="O50" s="1"/>
      <c r="P50" s="1"/>
      <c r="Q50" s="1"/>
      <c r="R50" s="1"/>
      <c r="S50" s="1"/>
    </row>
    <row r="51" spans="1:19" ht="18.75" hidden="1" customHeight="1">
      <c r="A51" s="2"/>
      <c r="B51" s="1" t="s">
        <v>199</v>
      </c>
      <c r="C51" s="4">
        <f t="shared" ref="C51:L51" si="18">C$34+NPV($J$2,C35:C41)</f>
        <v>57330.758031409976</v>
      </c>
      <c r="D51" s="4">
        <f t="shared" si="18"/>
        <v>153386.82054441387</v>
      </c>
      <c r="E51" s="4">
        <f t="shared" si="18"/>
        <v>0</v>
      </c>
      <c r="F51" s="4">
        <f t="shared" si="18"/>
        <v>0</v>
      </c>
      <c r="G51" s="4">
        <f t="shared" si="18"/>
        <v>0</v>
      </c>
      <c r="H51" s="4">
        <f t="shared" si="18"/>
        <v>0</v>
      </c>
      <c r="I51" s="4">
        <f t="shared" si="18"/>
        <v>0</v>
      </c>
      <c r="J51" s="4">
        <f t="shared" si="18"/>
        <v>0</v>
      </c>
      <c r="K51" s="4">
        <f t="shared" si="18"/>
        <v>0</v>
      </c>
      <c r="L51" s="4">
        <f t="shared" si="18"/>
        <v>0</v>
      </c>
      <c r="M51" s="1"/>
      <c r="N51" s="1"/>
      <c r="O51" s="1"/>
      <c r="P51" s="1"/>
      <c r="Q51" s="1"/>
      <c r="R51" s="1"/>
      <c r="S51" s="1"/>
    </row>
    <row r="52" spans="1:19" ht="18.75" hidden="1" customHeight="1">
      <c r="A52" s="2"/>
      <c r="B52" s="1" t="s">
        <v>200</v>
      </c>
      <c r="C52" s="4">
        <f t="shared" ref="C52:L52" si="19">C$34+NPV($J$2,C35:C42)</f>
        <v>63313.433876355746</v>
      </c>
      <c r="D52" s="4">
        <f t="shared" si="19"/>
        <v>169393.30044655179</v>
      </c>
      <c r="E52" s="4">
        <f t="shared" si="19"/>
        <v>0</v>
      </c>
      <c r="F52" s="4">
        <f t="shared" si="19"/>
        <v>0</v>
      </c>
      <c r="G52" s="4">
        <f t="shared" si="19"/>
        <v>0</v>
      </c>
      <c r="H52" s="4">
        <f t="shared" si="19"/>
        <v>0</v>
      </c>
      <c r="I52" s="4">
        <f t="shared" si="19"/>
        <v>0</v>
      </c>
      <c r="J52" s="4">
        <f t="shared" si="19"/>
        <v>0</v>
      </c>
      <c r="K52" s="4">
        <f t="shared" si="19"/>
        <v>0</v>
      </c>
      <c r="L52" s="4">
        <f t="shared" si="19"/>
        <v>0</v>
      </c>
      <c r="M52" s="1"/>
      <c r="N52" s="1"/>
      <c r="O52" s="1"/>
      <c r="P52" s="1"/>
      <c r="Q52" s="1"/>
      <c r="R52" s="1"/>
      <c r="S52" s="1"/>
    </row>
    <row r="53" spans="1:19" ht="18.75" hidden="1" customHeight="1">
      <c r="A53" s="2"/>
      <c r="B53" s="12" t="s">
        <v>201</v>
      </c>
      <c r="C53" s="43">
        <f t="shared" ref="C53:L53" si="20">C$34+NPV($J$2,C35:C43)</f>
        <v>69066.006804188219</v>
      </c>
      <c r="D53" s="43">
        <f t="shared" si="20"/>
        <v>184784.14650629979</v>
      </c>
      <c r="E53" s="43">
        <f t="shared" si="20"/>
        <v>0</v>
      </c>
      <c r="F53" s="43">
        <f t="shared" si="20"/>
        <v>0</v>
      </c>
      <c r="G53" s="43">
        <f t="shared" si="20"/>
        <v>0</v>
      </c>
      <c r="H53" s="43">
        <f t="shared" si="20"/>
        <v>0</v>
      </c>
      <c r="I53" s="43">
        <f t="shared" si="20"/>
        <v>0</v>
      </c>
      <c r="J53" s="43">
        <f t="shared" si="20"/>
        <v>0</v>
      </c>
      <c r="K53" s="43">
        <f t="shared" si="20"/>
        <v>0</v>
      </c>
      <c r="L53" s="43">
        <f t="shared" si="20"/>
        <v>0</v>
      </c>
      <c r="M53" s="1"/>
      <c r="N53" s="1"/>
      <c r="O53" s="1"/>
      <c r="P53" s="1"/>
      <c r="Q53" s="1"/>
      <c r="R53" s="1"/>
      <c r="S53" s="1"/>
    </row>
    <row r="54" spans="1:19" ht="18.75" hidden="1" customHeight="1">
      <c r="A54" s="2"/>
      <c r="B54" s="1" t="s">
        <v>202</v>
      </c>
      <c r="C54" s="1">
        <v>0</v>
      </c>
      <c r="D54" s="1">
        <v>0</v>
      </c>
      <c r="E54" s="1">
        <v>0</v>
      </c>
      <c r="F54" s="1">
        <v>0</v>
      </c>
      <c r="G54" s="1">
        <v>0</v>
      </c>
      <c r="H54" s="1">
        <v>0</v>
      </c>
      <c r="I54" s="1">
        <v>0</v>
      </c>
      <c r="J54" s="1">
        <v>0</v>
      </c>
      <c r="K54" s="1">
        <v>0</v>
      </c>
      <c r="L54" s="1">
        <v>0</v>
      </c>
      <c r="M54" s="1"/>
      <c r="N54" s="1"/>
      <c r="O54" s="1"/>
      <c r="P54" s="1"/>
      <c r="Q54" s="1"/>
      <c r="R54" s="1"/>
      <c r="S54" s="1"/>
    </row>
    <row r="55" spans="1:19" ht="18.75" hidden="1" customHeight="1">
      <c r="A55" s="2"/>
      <c r="B55" s="1" t="s">
        <v>203</v>
      </c>
      <c r="C55" s="1">
        <v>0</v>
      </c>
      <c r="D55" s="1">
        <v>0</v>
      </c>
      <c r="E55" s="1">
        <v>0</v>
      </c>
      <c r="F55" s="1">
        <v>0</v>
      </c>
      <c r="G55" s="1">
        <v>0</v>
      </c>
      <c r="H55" s="1">
        <v>0</v>
      </c>
      <c r="I55" s="1">
        <v>0</v>
      </c>
      <c r="J55" s="1">
        <v>0</v>
      </c>
      <c r="K55" s="1">
        <v>0</v>
      </c>
      <c r="L55" s="1">
        <v>0</v>
      </c>
      <c r="M55" s="1"/>
      <c r="N55" s="1"/>
      <c r="O55" s="1"/>
      <c r="P55" s="1"/>
      <c r="Q55" s="1"/>
      <c r="R55" s="1"/>
      <c r="S55" s="1"/>
    </row>
    <row r="56" spans="1:19" ht="18.75" hidden="1" customHeight="1">
      <c r="A56" s="2"/>
      <c r="B56" s="1" t="s">
        <v>204</v>
      </c>
      <c r="C56" s="1">
        <v>0</v>
      </c>
      <c r="D56" s="1">
        <v>0</v>
      </c>
      <c r="E56" s="1">
        <v>0</v>
      </c>
      <c r="F56" s="1">
        <v>0</v>
      </c>
      <c r="G56" s="1">
        <v>0</v>
      </c>
      <c r="H56" s="1">
        <v>0</v>
      </c>
      <c r="I56" s="1">
        <v>0</v>
      </c>
      <c r="J56" s="1">
        <v>0</v>
      </c>
      <c r="K56" s="1">
        <v>0</v>
      </c>
      <c r="L56" s="1">
        <v>0</v>
      </c>
      <c r="M56" s="1"/>
      <c r="N56" s="1"/>
      <c r="O56" s="1"/>
      <c r="P56" s="1"/>
      <c r="Q56" s="1"/>
      <c r="R56" s="1"/>
      <c r="S56" s="1"/>
    </row>
    <row r="57" spans="1:19" ht="18.75" hidden="1" customHeight="1">
      <c r="A57" s="2"/>
      <c r="B57" s="1" t="s">
        <v>205</v>
      </c>
      <c r="C57" s="3">
        <f t="shared" ref="C57:L57" si="21">360+IF(C$14&lt;$O$19,0,(C$14-$O$19)*$P$19*IF(OR(C$13=$E$7,C$13=$E$8),0.5,1))+IF(ISNUMBER(SEARCH($E$5,C$13)),$S$3+C$14*$S$4,0)</f>
        <v>360</v>
      </c>
      <c r="D57" s="3">
        <f t="shared" si="21"/>
        <v>3034.24</v>
      </c>
      <c r="E57" s="3">
        <f t="shared" si="21"/>
        <v>360</v>
      </c>
      <c r="F57" s="3">
        <f t="shared" si="21"/>
        <v>360</v>
      </c>
      <c r="G57" s="3">
        <f t="shared" si="21"/>
        <v>360</v>
      </c>
      <c r="H57" s="3">
        <f t="shared" si="21"/>
        <v>360</v>
      </c>
      <c r="I57" s="3">
        <f t="shared" si="21"/>
        <v>360</v>
      </c>
      <c r="J57" s="3">
        <f t="shared" si="21"/>
        <v>360</v>
      </c>
      <c r="K57" s="3">
        <f t="shared" si="21"/>
        <v>360</v>
      </c>
      <c r="L57" s="3">
        <f t="shared" si="21"/>
        <v>360</v>
      </c>
      <c r="M57" s="1"/>
      <c r="N57" s="1"/>
      <c r="O57" s="1"/>
      <c r="P57" s="1"/>
      <c r="Q57" s="1"/>
      <c r="R57" s="1"/>
      <c r="S57" s="1"/>
    </row>
    <row r="58" spans="1:19" ht="18.75" hidden="1" customHeight="1">
      <c r="A58" s="2"/>
      <c r="B58" s="1" t="s">
        <v>206</v>
      </c>
      <c r="C58" s="1">
        <f t="shared" ref="C58:L63" si="22">C$57</f>
        <v>360</v>
      </c>
      <c r="D58" s="1">
        <f t="shared" si="22"/>
        <v>3034.24</v>
      </c>
      <c r="E58" s="1">
        <f t="shared" si="22"/>
        <v>360</v>
      </c>
      <c r="F58" s="1">
        <f t="shared" si="22"/>
        <v>360</v>
      </c>
      <c r="G58" s="1">
        <f t="shared" si="22"/>
        <v>360</v>
      </c>
      <c r="H58" s="1">
        <f t="shared" si="22"/>
        <v>360</v>
      </c>
      <c r="I58" s="1">
        <f t="shared" si="22"/>
        <v>360</v>
      </c>
      <c r="J58" s="1">
        <f t="shared" si="22"/>
        <v>360</v>
      </c>
      <c r="K58" s="1">
        <f t="shared" si="22"/>
        <v>360</v>
      </c>
      <c r="L58" s="1">
        <f t="shared" si="22"/>
        <v>360</v>
      </c>
      <c r="M58" s="1"/>
      <c r="N58" s="1"/>
      <c r="O58" s="1"/>
      <c r="P58" s="1"/>
      <c r="Q58" s="1"/>
      <c r="R58" s="1"/>
      <c r="S58" s="1"/>
    </row>
    <row r="59" spans="1:19" ht="18.75" hidden="1" customHeight="1">
      <c r="A59" s="2"/>
      <c r="B59" s="1" t="s">
        <v>207</v>
      </c>
      <c r="C59" s="1">
        <f t="shared" si="22"/>
        <v>360</v>
      </c>
      <c r="D59" s="1">
        <f t="shared" si="22"/>
        <v>3034.24</v>
      </c>
      <c r="E59" s="1">
        <f t="shared" si="22"/>
        <v>360</v>
      </c>
      <c r="F59" s="1">
        <f t="shared" si="22"/>
        <v>360</v>
      </c>
      <c r="G59" s="1">
        <f t="shared" si="22"/>
        <v>360</v>
      </c>
      <c r="H59" s="1">
        <f t="shared" si="22"/>
        <v>360</v>
      </c>
      <c r="I59" s="1">
        <f t="shared" si="22"/>
        <v>360</v>
      </c>
      <c r="J59" s="1">
        <f t="shared" si="22"/>
        <v>360</v>
      </c>
      <c r="K59" s="1">
        <f t="shared" si="22"/>
        <v>360</v>
      </c>
      <c r="L59" s="1">
        <f t="shared" si="22"/>
        <v>360</v>
      </c>
      <c r="M59" s="1"/>
      <c r="N59" s="1"/>
      <c r="O59" s="1"/>
      <c r="P59" s="1"/>
      <c r="Q59" s="1"/>
      <c r="R59" s="1"/>
      <c r="S59" s="1"/>
    </row>
    <row r="60" spans="1:19" ht="18.75" hidden="1" customHeight="1">
      <c r="A60" s="2"/>
      <c r="B60" s="1" t="s">
        <v>208</v>
      </c>
      <c r="C60" s="1">
        <f t="shared" si="22"/>
        <v>360</v>
      </c>
      <c r="D60" s="1">
        <f t="shared" si="22"/>
        <v>3034.24</v>
      </c>
      <c r="E60" s="1">
        <f t="shared" si="22"/>
        <v>360</v>
      </c>
      <c r="F60" s="1">
        <f t="shared" si="22"/>
        <v>360</v>
      </c>
      <c r="G60" s="1">
        <f t="shared" si="22"/>
        <v>360</v>
      </c>
      <c r="H60" s="1">
        <f t="shared" si="22"/>
        <v>360</v>
      </c>
      <c r="I60" s="1">
        <f t="shared" si="22"/>
        <v>360</v>
      </c>
      <c r="J60" s="1">
        <f t="shared" si="22"/>
        <v>360</v>
      </c>
      <c r="K60" s="1">
        <f t="shared" si="22"/>
        <v>360</v>
      </c>
      <c r="L60" s="1">
        <f t="shared" si="22"/>
        <v>360</v>
      </c>
      <c r="M60" s="1"/>
      <c r="N60" s="1"/>
      <c r="O60" s="1"/>
      <c r="P60" s="1"/>
      <c r="Q60" s="1"/>
      <c r="R60" s="1"/>
      <c r="S60" s="1"/>
    </row>
    <row r="61" spans="1:19" ht="18.75" hidden="1" customHeight="1">
      <c r="A61" s="2"/>
      <c r="B61" s="1" t="s">
        <v>209</v>
      </c>
      <c r="C61" s="1">
        <f t="shared" si="22"/>
        <v>360</v>
      </c>
      <c r="D61" s="1">
        <f t="shared" si="22"/>
        <v>3034.24</v>
      </c>
      <c r="E61" s="1">
        <f t="shared" si="22"/>
        <v>360</v>
      </c>
      <c r="F61" s="1">
        <f t="shared" si="22"/>
        <v>360</v>
      </c>
      <c r="G61" s="1">
        <f t="shared" si="22"/>
        <v>360</v>
      </c>
      <c r="H61" s="1">
        <f t="shared" si="22"/>
        <v>360</v>
      </c>
      <c r="I61" s="1">
        <f t="shared" si="22"/>
        <v>360</v>
      </c>
      <c r="J61" s="1">
        <f t="shared" si="22"/>
        <v>360</v>
      </c>
      <c r="K61" s="1">
        <f t="shared" si="22"/>
        <v>360</v>
      </c>
      <c r="L61" s="1">
        <f t="shared" si="22"/>
        <v>360</v>
      </c>
      <c r="M61" s="1"/>
      <c r="N61" s="1"/>
      <c r="O61" s="1"/>
      <c r="P61" s="1"/>
      <c r="Q61" s="1"/>
      <c r="R61" s="1"/>
      <c r="S61" s="1"/>
    </row>
    <row r="62" spans="1:19" ht="18.75" hidden="1" customHeight="1">
      <c r="A62" s="2"/>
      <c r="B62" s="1" t="s">
        <v>210</v>
      </c>
      <c r="C62" s="1">
        <f t="shared" si="22"/>
        <v>360</v>
      </c>
      <c r="D62" s="1">
        <f t="shared" si="22"/>
        <v>3034.24</v>
      </c>
      <c r="E62" s="1">
        <f t="shared" si="22"/>
        <v>360</v>
      </c>
      <c r="F62" s="1">
        <f t="shared" si="22"/>
        <v>360</v>
      </c>
      <c r="G62" s="1">
        <f t="shared" si="22"/>
        <v>360</v>
      </c>
      <c r="H62" s="1">
        <f t="shared" si="22"/>
        <v>360</v>
      </c>
      <c r="I62" s="1">
        <f t="shared" si="22"/>
        <v>360</v>
      </c>
      <c r="J62" s="1">
        <f t="shared" si="22"/>
        <v>360</v>
      </c>
      <c r="K62" s="1">
        <f t="shared" si="22"/>
        <v>360</v>
      </c>
      <c r="L62" s="1">
        <f t="shared" si="22"/>
        <v>360</v>
      </c>
      <c r="M62" s="1"/>
      <c r="N62" s="1"/>
      <c r="O62" s="1"/>
      <c r="P62" s="1"/>
      <c r="Q62" s="1"/>
      <c r="R62" s="1"/>
      <c r="S62" s="1"/>
    </row>
    <row r="63" spans="1:19" ht="18.75" hidden="1" customHeight="1">
      <c r="A63" s="2"/>
      <c r="B63" s="12" t="s">
        <v>211</v>
      </c>
      <c r="C63" s="12">
        <f t="shared" si="22"/>
        <v>360</v>
      </c>
      <c r="D63" s="12">
        <f t="shared" si="22"/>
        <v>3034.24</v>
      </c>
      <c r="E63" s="12">
        <f t="shared" si="22"/>
        <v>360</v>
      </c>
      <c r="F63" s="12">
        <f t="shared" si="22"/>
        <v>360</v>
      </c>
      <c r="G63" s="12">
        <f t="shared" si="22"/>
        <v>360</v>
      </c>
      <c r="H63" s="12">
        <f t="shared" si="22"/>
        <v>360</v>
      </c>
      <c r="I63" s="12">
        <f t="shared" si="22"/>
        <v>360</v>
      </c>
      <c r="J63" s="12">
        <f t="shared" si="22"/>
        <v>360</v>
      </c>
      <c r="K63" s="12">
        <f t="shared" si="22"/>
        <v>360</v>
      </c>
      <c r="L63" s="12">
        <f t="shared" si="22"/>
        <v>360</v>
      </c>
      <c r="M63" s="1"/>
      <c r="N63" s="1"/>
      <c r="O63" s="1"/>
      <c r="P63" s="1"/>
      <c r="Q63" s="1"/>
      <c r="R63" s="1"/>
      <c r="S63" s="1"/>
    </row>
    <row r="64" spans="1:19" ht="18.75" hidden="1" customHeight="1">
      <c r="A64" s="2"/>
      <c r="B64" s="1" t="s">
        <v>212</v>
      </c>
      <c r="C64" s="4">
        <v>0</v>
      </c>
      <c r="D64" s="4">
        <v>0</v>
      </c>
      <c r="E64" s="4">
        <v>0</v>
      </c>
      <c r="F64" s="4">
        <v>0</v>
      </c>
      <c r="G64" s="4">
        <v>0</v>
      </c>
      <c r="H64" s="4">
        <v>0</v>
      </c>
      <c r="I64" s="4">
        <v>0</v>
      </c>
      <c r="J64" s="4">
        <v>0</v>
      </c>
      <c r="K64" s="4">
        <v>0</v>
      </c>
      <c r="L64" s="4">
        <v>0</v>
      </c>
      <c r="M64" s="1"/>
      <c r="N64" s="1"/>
      <c r="O64" s="1"/>
      <c r="P64" s="1"/>
      <c r="Q64" s="1"/>
      <c r="R64" s="1"/>
      <c r="S64" s="1"/>
    </row>
    <row r="65" spans="1:19" ht="18.75" hidden="1" customHeight="1">
      <c r="A65" s="2"/>
      <c r="B65" s="1" t="s">
        <v>213</v>
      </c>
      <c r="C65" s="4">
        <v>0</v>
      </c>
      <c r="D65" s="4">
        <v>0</v>
      </c>
      <c r="E65" s="4">
        <v>0</v>
      </c>
      <c r="F65" s="4">
        <v>0</v>
      </c>
      <c r="G65" s="4">
        <v>0</v>
      </c>
      <c r="H65" s="4">
        <v>0</v>
      </c>
      <c r="I65" s="4">
        <v>0</v>
      </c>
      <c r="J65" s="4">
        <v>0</v>
      </c>
      <c r="K65" s="4">
        <v>0</v>
      </c>
      <c r="L65" s="4">
        <v>0</v>
      </c>
      <c r="M65" s="1"/>
      <c r="N65" s="1"/>
      <c r="O65" s="1"/>
      <c r="P65" s="1"/>
      <c r="Q65" s="1"/>
      <c r="R65" s="1"/>
      <c r="S65" s="1"/>
    </row>
    <row r="66" spans="1:19" ht="18.75" hidden="1" customHeight="1">
      <c r="A66" s="2"/>
      <c r="B66" s="1" t="s">
        <v>214</v>
      </c>
      <c r="C66" s="4">
        <v>0</v>
      </c>
      <c r="D66" s="4">
        <v>0</v>
      </c>
      <c r="E66" s="4">
        <v>0</v>
      </c>
      <c r="F66" s="4">
        <v>0</v>
      </c>
      <c r="G66" s="4">
        <v>0</v>
      </c>
      <c r="H66" s="4">
        <v>0</v>
      </c>
      <c r="I66" s="4">
        <v>0</v>
      </c>
      <c r="J66" s="4">
        <v>0</v>
      </c>
      <c r="K66" s="4">
        <v>0</v>
      </c>
      <c r="L66" s="4">
        <v>0</v>
      </c>
      <c r="M66" s="1"/>
      <c r="N66" s="1"/>
      <c r="O66" s="1"/>
      <c r="P66" s="1"/>
      <c r="Q66" s="1"/>
      <c r="R66" s="1"/>
      <c r="S66" s="1"/>
    </row>
    <row r="67" spans="1:19" ht="18.75" hidden="1" customHeight="1">
      <c r="A67" s="2"/>
      <c r="B67" s="1" t="s">
        <v>215</v>
      </c>
      <c r="C67" s="4">
        <f t="shared" ref="C67:L67" si="23">C$57/(1+$J$2)^3</f>
        <v>320.03868912152933</v>
      </c>
      <c r="D67" s="4">
        <f t="shared" si="23"/>
        <v>2697.4283113336364</v>
      </c>
      <c r="E67" s="4">
        <f t="shared" si="23"/>
        <v>320.03868912152933</v>
      </c>
      <c r="F67" s="4">
        <f t="shared" si="23"/>
        <v>320.03868912152933</v>
      </c>
      <c r="G67" s="4">
        <f t="shared" si="23"/>
        <v>320.03868912152933</v>
      </c>
      <c r="H67" s="4">
        <f t="shared" si="23"/>
        <v>320.03868912152933</v>
      </c>
      <c r="I67" s="4">
        <f t="shared" si="23"/>
        <v>320.03868912152933</v>
      </c>
      <c r="J67" s="4">
        <f t="shared" si="23"/>
        <v>320.03868912152933</v>
      </c>
      <c r="K67" s="4">
        <f t="shared" si="23"/>
        <v>320.03868912152933</v>
      </c>
      <c r="L67" s="4">
        <f t="shared" si="23"/>
        <v>320.03868912152933</v>
      </c>
      <c r="M67" s="1"/>
      <c r="N67" s="1"/>
      <c r="O67" s="1"/>
      <c r="P67" s="1"/>
      <c r="Q67" s="1"/>
      <c r="R67" s="1"/>
      <c r="S67" s="1"/>
    </row>
    <row r="68" spans="1:19" ht="18.75" hidden="1" customHeight="1">
      <c r="A68" s="2"/>
      <c r="B68" s="1" t="s">
        <v>216</v>
      </c>
      <c r="C68" s="4">
        <f t="shared" ref="C68:L68" si="24">C67+C$57/(1+$J$2)^4</f>
        <v>627.76819789223055</v>
      </c>
      <c r="D68" s="4">
        <f t="shared" si="24"/>
        <v>5291.1093799236714</v>
      </c>
      <c r="E68" s="4">
        <f t="shared" si="24"/>
        <v>627.76819789223055</v>
      </c>
      <c r="F68" s="4">
        <f t="shared" si="24"/>
        <v>627.76819789223055</v>
      </c>
      <c r="G68" s="4">
        <f t="shared" si="24"/>
        <v>627.76819789223055</v>
      </c>
      <c r="H68" s="4">
        <f t="shared" si="24"/>
        <v>627.76819789223055</v>
      </c>
      <c r="I68" s="4">
        <f t="shared" si="24"/>
        <v>627.76819789223055</v>
      </c>
      <c r="J68" s="4">
        <f t="shared" si="24"/>
        <v>627.76819789223055</v>
      </c>
      <c r="K68" s="4">
        <f t="shared" si="24"/>
        <v>627.76819789223055</v>
      </c>
      <c r="L68" s="4">
        <f t="shared" si="24"/>
        <v>627.76819789223055</v>
      </c>
      <c r="M68" s="1"/>
      <c r="N68" s="1"/>
      <c r="O68" s="1"/>
      <c r="P68" s="1"/>
      <c r="Q68" s="1"/>
      <c r="R68" s="1"/>
      <c r="S68" s="1"/>
    </row>
    <row r="69" spans="1:19" ht="18.75" hidden="1" customHeight="1">
      <c r="A69" s="2"/>
      <c r="B69" s="1" t="s">
        <v>217</v>
      </c>
      <c r="C69" s="4">
        <f t="shared" ref="C69:L69" si="25">C68+C$57/(1+$J$2)^5</f>
        <v>923.66195632559709</v>
      </c>
      <c r="D69" s="4">
        <f t="shared" si="25"/>
        <v>7785.0334843371656</v>
      </c>
      <c r="E69" s="4">
        <f t="shared" si="25"/>
        <v>923.66195632559709</v>
      </c>
      <c r="F69" s="4">
        <f t="shared" si="25"/>
        <v>923.66195632559709</v>
      </c>
      <c r="G69" s="4">
        <f t="shared" si="25"/>
        <v>923.66195632559709</v>
      </c>
      <c r="H69" s="4">
        <f t="shared" si="25"/>
        <v>923.66195632559709</v>
      </c>
      <c r="I69" s="4">
        <f t="shared" si="25"/>
        <v>923.66195632559709</v>
      </c>
      <c r="J69" s="4">
        <f t="shared" si="25"/>
        <v>923.66195632559709</v>
      </c>
      <c r="K69" s="4">
        <f t="shared" si="25"/>
        <v>923.66195632559709</v>
      </c>
      <c r="L69" s="4">
        <f t="shared" si="25"/>
        <v>923.66195632559709</v>
      </c>
      <c r="M69" s="1"/>
      <c r="N69" s="1"/>
      <c r="O69" s="1"/>
      <c r="P69" s="1"/>
      <c r="Q69" s="1"/>
      <c r="R69" s="1"/>
      <c r="S69" s="1"/>
    </row>
    <row r="70" spans="1:19" ht="18.75" hidden="1" customHeight="1">
      <c r="A70" s="2"/>
      <c r="B70" s="1" t="s">
        <v>218</v>
      </c>
      <c r="C70" s="4">
        <f t="shared" ref="C70:L70" si="26">C69+C$57/(1+$J$2)^6</f>
        <v>1208.1751855884495</v>
      </c>
      <c r="D70" s="4">
        <f t="shared" si="26"/>
        <v>10183.037430888602</v>
      </c>
      <c r="E70" s="4">
        <f t="shared" si="26"/>
        <v>1208.1751855884495</v>
      </c>
      <c r="F70" s="4">
        <f t="shared" si="26"/>
        <v>1208.1751855884495</v>
      </c>
      <c r="G70" s="4">
        <f t="shared" si="26"/>
        <v>1208.1751855884495</v>
      </c>
      <c r="H70" s="4">
        <f t="shared" si="26"/>
        <v>1208.1751855884495</v>
      </c>
      <c r="I70" s="4">
        <f t="shared" si="26"/>
        <v>1208.1751855884495</v>
      </c>
      <c r="J70" s="4">
        <f t="shared" si="26"/>
        <v>1208.1751855884495</v>
      </c>
      <c r="K70" s="4">
        <f t="shared" si="26"/>
        <v>1208.1751855884495</v>
      </c>
      <c r="L70" s="4">
        <f t="shared" si="26"/>
        <v>1208.1751855884495</v>
      </c>
      <c r="M70" s="1"/>
      <c r="N70" s="1"/>
      <c r="O70" s="1"/>
      <c r="P70" s="1"/>
      <c r="Q70" s="1"/>
      <c r="R70" s="1"/>
      <c r="S70" s="1"/>
    </row>
    <row r="71" spans="1:19" ht="18.75" hidden="1" customHeight="1">
      <c r="A71" s="2"/>
      <c r="B71" s="1" t="s">
        <v>219</v>
      </c>
      <c r="C71" s="4">
        <f t="shared" ref="C71:L71" si="27">C70+C$57/(1+$J$2)^7</f>
        <v>1481.7455983411924</v>
      </c>
      <c r="D71" s="4">
        <f t="shared" si="27"/>
        <v>12488.810456418831</v>
      </c>
      <c r="E71" s="4">
        <f t="shared" si="27"/>
        <v>1481.7455983411924</v>
      </c>
      <c r="F71" s="4">
        <f t="shared" si="27"/>
        <v>1481.7455983411924</v>
      </c>
      <c r="G71" s="4">
        <f t="shared" si="27"/>
        <v>1481.7455983411924</v>
      </c>
      <c r="H71" s="4">
        <f t="shared" si="27"/>
        <v>1481.7455983411924</v>
      </c>
      <c r="I71" s="4">
        <f t="shared" si="27"/>
        <v>1481.7455983411924</v>
      </c>
      <c r="J71" s="4">
        <f t="shared" si="27"/>
        <v>1481.7455983411924</v>
      </c>
      <c r="K71" s="4">
        <f t="shared" si="27"/>
        <v>1481.7455983411924</v>
      </c>
      <c r="L71" s="4">
        <f t="shared" si="27"/>
        <v>1481.7455983411924</v>
      </c>
      <c r="M71" s="1"/>
      <c r="N71" s="1"/>
      <c r="O71" s="1"/>
      <c r="P71" s="1"/>
      <c r="Q71" s="1"/>
      <c r="R71" s="1"/>
      <c r="S71" s="1"/>
    </row>
    <row r="72" spans="1:19" ht="18.75" hidden="1" customHeight="1">
      <c r="A72" s="2"/>
      <c r="B72" s="1" t="s">
        <v>220</v>
      </c>
      <c r="C72" s="4">
        <f t="shared" ref="C72:L72" si="28">C71+C$57/(1+$J$2)^8</f>
        <v>1744.7940721419066</v>
      </c>
      <c r="D72" s="4">
        <f t="shared" si="28"/>
        <v>14705.89990404405</v>
      </c>
      <c r="E72" s="4">
        <f t="shared" si="28"/>
        <v>1744.7940721419066</v>
      </c>
      <c r="F72" s="4">
        <f t="shared" si="28"/>
        <v>1744.7940721419066</v>
      </c>
      <c r="G72" s="4">
        <f t="shared" si="28"/>
        <v>1744.7940721419066</v>
      </c>
      <c r="H72" s="4">
        <f t="shared" si="28"/>
        <v>1744.7940721419066</v>
      </c>
      <c r="I72" s="4">
        <f t="shared" si="28"/>
        <v>1744.7940721419066</v>
      </c>
      <c r="J72" s="4">
        <f t="shared" si="28"/>
        <v>1744.7940721419066</v>
      </c>
      <c r="K72" s="4">
        <f t="shared" si="28"/>
        <v>1744.7940721419066</v>
      </c>
      <c r="L72" s="4">
        <f t="shared" si="28"/>
        <v>1744.7940721419066</v>
      </c>
      <c r="M72" s="1"/>
      <c r="N72" s="1"/>
      <c r="O72" s="1"/>
      <c r="P72" s="1"/>
      <c r="Q72" s="1"/>
      <c r="R72" s="1"/>
      <c r="S72" s="1"/>
    </row>
    <row r="73" spans="1:19" ht="18.75" hidden="1" customHeight="1">
      <c r="A73" s="2"/>
      <c r="B73" s="12" t="s">
        <v>221</v>
      </c>
      <c r="C73" s="43">
        <f t="shared" ref="C73:L73" si="29">C72+C$57/(1+$J$2)^9</f>
        <v>1997.7252969502856</v>
      </c>
      <c r="D73" s="43">
        <f t="shared" si="29"/>
        <v>16837.716680606762</v>
      </c>
      <c r="E73" s="43">
        <f t="shared" si="29"/>
        <v>1997.7252969502856</v>
      </c>
      <c r="F73" s="43">
        <f t="shared" si="29"/>
        <v>1997.7252969502856</v>
      </c>
      <c r="G73" s="43">
        <f t="shared" si="29"/>
        <v>1997.7252969502856</v>
      </c>
      <c r="H73" s="43">
        <f t="shared" si="29"/>
        <v>1997.7252969502856</v>
      </c>
      <c r="I73" s="43">
        <f t="shared" si="29"/>
        <v>1997.7252969502856</v>
      </c>
      <c r="J73" s="43">
        <f t="shared" si="29"/>
        <v>1997.7252969502856</v>
      </c>
      <c r="K73" s="43">
        <f t="shared" si="29"/>
        <v>1997.7252969502856</v>
      </c>
      <c r="L73" s="43">
        <f t="shared" si="29"/>
        <v>1997.7252969502856</v>
      </c>
      <c r="M73" s="1"/>
      <c r="N73" s="1"/>
      <c r="O73" s="1"/>
      <c r="P73" s="1"/>
      <c r="Q73" s="1"/>
      <c r="R73" s="1"/>
      <c r="S73" s="1"/>
    </row>
    <row r="74" spans="1:19" ht="18.75" hidden="1" customHeight="1">
      <c r="A74" s="2"/>
      <c r="B74" s="1" t="s">
        <v>222</v>
      </c>
      <c r="C74" s="1">
        <f t="shared" ref="C74:L74" si="30">360+IF(C$13=$E$8,IF(C$14&gt;$O$19,(C$14-$O$19)*$P$19/2,0),IF(C$13=$E$7,IF(C$14&gt;$O$19,(C$14-$O$19)*$P$19/2,0),IF(C$14&gt;$O$15,IF(C$14&gt;$O$16,(C$14-$O$16)*$P$16+($O$16-$O$15)*$P$15,(C$14-$O$15)*$P$15))+IF(C$13=$E$6,$S$3+C$14*$S$4,IF(C$13=$E$5,$S$3+C$14*$S$4,0))))</f>
        <v>360</v>
      </c>
      <c r="D74" s="1">
        <f t="shared" si="30"/>
        <v>5906.24</v>
      </c>
      <c r="E74" s="1">
        <f t="shared" si="30"/>
        <v>360</v>
      </c>
      <c r="F74" s="1">
        <f t="shared" si="30"/>
        <v>360</v>
      </c>
      <c r="G74" s="1">
        <f t="shared" si="30"/>
        <v>360</v>
      </c>
      <c r="H74" s="1">
        <f t="shared" si="30"/>
        <v>360</v>
      </c>
      <c r="I74" s="1">
        <f t="shared" si="30"/>
        <v>360</v>
      </c>
      <c r="J74" s="1">
        <f t="shared" si="30"/>
        <v>360</v>
      </c>
      <c r="K74" s="1">
        <f t="shared" si="30"/>
        <v>360</v>
      </c>
      <c r="L74" s="1">
        <f t="shared" si="30"/>
        <v>360</v>
      </c>
      <c r="M74" s="1"/>
      <c r="N74" s="1"/>
      <c r="O74" s="1"/>
      <c r="P74" s="1"/>
      <c r="Q74" s="1"/>
      <c r="R74" s="1"/>
      <c r="S74" s="1"/>
    </row>
    <row r="75" spans="1:19" ht="18.75" hidden="1" customHeight="1">
      <c r="A75" s="2"/>
      <c r="B75" s="1" t="s">
        <v>223</v>
      </c>
      <c r="C75" s="1">
        <f t="shared" ref="C75:L76" si="31">C$74</f>
        <v>360</v>
      </c>
      <c r="D75" s="1">
        <f t="shared" si="31"/>
        <v>5906.24</v>
      </c>
      <c r="E75" s="1">
        <f t="shared" si="31"/>
        <v>360</v>
      </c>
      <c r="F75" s="1">
        <f t="shared" si="31"/>
        <v>360</v>
      </c>
      <c r="G75" s="1">
        <f t="shared" si="31"/>
        <v>360</v>
      </c>
      <c r="H75" s="1">
        <f t="shared" si="31"/>
        <v>360</v>
      </c>
      <c r="I75" s="1">
        <f t="shared" si="31"/>
        <v>360</v>
      </c>
      <c r="J75" s="1">
        <f t="shared" si="31"/>
        <v>360</v>
      </c>
      <c r="K75" s="1">
        <f t="shared" si="31"/>
        <v>360</v>
      </c>
      <c r="L75" s="1">
        <f t="shared" si="31"/>
        <v>360</v>
      </c>
      <c r="M75" s="1"/>
      <c r="N75" s="1"/>
      <c r="O75" s="1"/>
      <c r="P75" s="1"/>
      <c r="Q75" s="1"/>
      <c r="R75" s="1"/>
      <c r="S75" s="1"/>
    </row>
    <row r="76" spans="1:19" ht="18.75" hidden="1" customHeight="1">
      <c r="A76" s="2"/>
      <c r="B76" s="1" t="s">
        <v>224</v>
      </c>
      <c r="C76" s="1">
        <f t="shared" si="31"/>
        <v>360</v>
      </c>
      <c r="D76" s="1">
        <f t="shared" si="31"/>
        <v>5906.24</v>
      </c>
      <c r="E76" s="1">
        <f t="shared" si="31"/>
        <v>360</v>
      </c>
      <c r="F76" s="1">
        <f t="shared" si="31"/>
        <v>360</v>
      </c>
      <c r="G76" s="1">
        <f t="shared" si="31"/>
        <v>360</v>
      </c>
      <c r="H76" s="1">
        <f t="shared" si="31"/>
        <v>360</v>
      </c>
      <c r="I76" s="1">
        <f t="shared" si="31"/>
        <v>360</v>
      </c>
      <c r="J76" s="1">
        <f t="shared" si="31"/>
        <v>360</v>
      </c>
      <c r="K76" s="1">
        <f t="shared" si="31"/>
        <v>360</v>
      </c>
      <c r="L76" s="1">
        <f t="shared" si="31"/>
        <v>360</v>
      </c>
      <c r="M76" s="1"/>
      <c r="N76" s="1"/>
      <c r="O76" s="1"/>
      <c r="P76" s="1"/>
      <c r="Q76" s="1"/>
      <c r="R76" s="1"/>
      <c r="S76" s="1"/>
    </row>
    <row r="77" spans="1:19" ht="18.75" hidden="1" customHeight="1">
      <c r="A77" s="2"/>
      <c r="B77" s="1" t="s">
        <v>225</v>
      </c>
      <c r="C77" s="1">
        <f>360+IF(C$14&lt;$O$19,0,(C$14-$O$19)*$P$19*IF(OR(C$13=$E$7,C$13=$E$8),0.5,1))+IF(ISNUMBER(SEARCH($E$5,C$13)),$S$3+C$14*$S$4,0)*0</f>
        <v>360</v>
      </c>
      <c r="D77" s="1">
        <v>0</v>
      </c>
      <c r="E77" s="1">
        <v>0</v>
      </c>
      <c r="F77" s="1">
        <v>0</v>
      </c>
      <c r="G77" s="1">
        <v>0</v>
      </c>
      <c r="H77" s="1">
        <v>0</v>
      </c>
      <c r="I77" s="1">
        <v>0</v>
      </c>
      <c r="J77" s="1">
        <v>0</v>
      </c>
      <c r="K77" s="1">
        <v>0</v>
      </c>
      <c r="L77" s="1">
        <v>0</v>
      </c>
      <c r="M77" s="1"/>
      <c r="N77" s="1"/>
      <c r="O77" s="1"/>
      <c r="P77" s="1"/>
      <c r="Q77" s="1"/>
      <c r="R77" s="1"/>
      <c r="S77" s="1"/>
    </row>
    <row r="78" spans="1:19" ht="18.75" hidden="1" customHeight="1">
      <c r="A78" s="2"/>
      <c r="B78" s="1" t="s">
        <v>226</v>
      </c>
      <c r="C78" s="1">
        <v>0</v>
      </c>
      <c r="D78" s="1">
        <v>0</v>
      </c>
      <c r="E78" s="1">
        <v>0</v>
      </c>
      <c r="F78" s="1">
        <v>0</v>
      </c>
      <c r="G78" s="1">
        <v>0</v>
      </c>
      <c r="H78" s="1">
        <v>0</v>
      </c>
      <c r="I78" s="1">
        <v>0</v>
      </c>
      <c r="J78" s="1">
        <v>0</v>
      </c>
      <c r="K78" s="1">
        <v>0</v>
      </c>
      <c r="L78" s="1">
        <v>0</v>
      </c>
      <c r="M78" s="1"/>
      <c r="N78" s="1"/>
      <c r="O78" s="1"/>
      <c r="P78" s="1"/>
      <c r="Q78" s="1"/>
      <c r="R78" s="1"/>
      <c r="S78" s="1"/>
    </row>
    <row r="79" spans="1:19" ht="18.75" hidden="1" customHeight="1">
      <c r="A79" s="2"/>
      <c r="B79" s="1" t="s">
        <v>227</v>
      </c>
      <c r="C79" s="1">
        <v>0</v>
      </c>
      <c r="D79" s="1">
        <v>0</v>
      </c>
      <c r="E79" s="1">
        <v>0</v>
      </c>
      <c r="F79" s="1">
        <v>0</v>
      </c>
      <c r="G79" s="1">
        <v>0</v>
      </c>
      <c r="H79" s="1">
        <v>0</v>
      </c>
      <c r="I79" s="1">
        <v>0</v>
      </c>
      <c r="J79" s="1">
        <v>0</v>
      </c>
      <c r="K79" s="1">
        <v>0</v>
      </c>
      <c r="L79" s="1">
        <v>0</v>
      </c>
      <c r="M79" s="1"/>
      <c r="N79" s="1"/>
      <c r="O79" s="1"/>
      <c r="P79" s="1"/>
      <c r="Q79" s="1"/>
      <c r="R79" s="1"/>
      <c r="S79" s="1"/>
    </row>
    <row r="80" spans="1:19" ht="18.75" hidden="1" customHeight="1">
      <c r="A80" s="2"/>
      <c r="B80" s="1" t="s">
        <v>228</v>
      </c>
      <c r="C80" s="1">
        <v>0</v>
      </c>
      <c r="D80" s="1">
        <v>0</v>
      </c>
      <c r="E80" s="1">
        <v>0</v>
      </c>
      <c r="F80" s="1">
        <v>0</v>
      </c>
      <c r="G80" s="1">
        <v>0</v>
      </c>
      <c r="H80" s="1">
        <v>0</v>
      </c>
      <c r="I80" s="1">
        <v>0</v>
      </c>
      <c r="J80" s="1">
        <v>0</v>
      </c>
      <c r="K80" s="1">
        <v>0</v>
      </c>
      <c r="L80" s="1">
        <v>0</v>
      </c>
      <c r="M80" s="1"/>
      <c r="N80" s="1"/>
      <c r="O80" s="1"/>
      <c r="P80" s="1"/>
      <c r="Q80" s="1"/>
      <c r="R80" s="1"/>
      <c r="S80" s="1"/>
    </row>
    <row r="81" spans="1:19" ht="18.75" hidden="1" customHeight="1">
      <c r="A81" s="2"/>
      <c r="B81" s="1" t="s">
        <v>229</v>
      </c>
      <c r="C81" s="1">
        <v>0</v>
      </c>
      <c r="D81" s="1">
        <v>0</v>
      </c>
      <c r="E81" s="1">
        <v>0</v>
      </c>
      <c r="F81" s="1">
        <v>0</v>
      </c>
      <c r="G81" s="1">
        <v>0</v>
      </c>
      <c r="H81" s="1">
        <v>0</v>
      </c>
      <c r="I81" s="1">
        <v>0</v>
      </c>
      <c r="J81" s="1">
        <v>0</v>
      </c>
      <c r="K81" s="1">
        <v>0</v>
      </c>
      <c r="L81" s="1">
        <v>0</v>
      </c>
      <c r="M81" s="1"/>
      <c r="N81" s="1"/>
      <c r="O81" s="1"/>
      <c r="P81" s="1"/>
      <c r="Q81" s="1"/>
      <c r="R81" s="1"/>
      <c r="S81" s="1"/>
    </row>
    <row r="82" spans="1:19" ht="18.75" hidden="1" customHeight="1">
      <c r="A82" s="2"/>
      <c r="B82" s="1" t="s">
        <v>230</v>
      </c>
      <c r="C82" s="1">
        <v>0</v>
      </c>
      <c r="D82" s="1">
        <v>0</v>
      </c>
      <c r="E82" s="1">
        <v>0</v>
      </c>
      <c r="F82" s="1">
        <v>0</v>
      </c>
      <c r="G82" s="1">
        <v>0</v>
      </c>
      <c r="H82" s="1">
        <v>0</v>
      </c>
      <c r="I82" s="1">
        <v>0</v>
      </c>
      <c r="J82" s="1">
        <v>0</v>
      </c>
      <c r="K82" s="1">
        <v>0</v>
      </c>
      <c r="L82" s="1">
        <v>0</v>
      </c>
      <c r="M82" s="1"/>
      <c r="N82" s="1"/>
      <c r="O82" s="1"/>
      <c r="P82" s="1"/>
      <c r="Q82" s="1"/>
      <c r="R82" s="1"/>
      <c r="S82" s="1"/>
    </row>
    <row r="83" spans="1:19" ht="18.75" hidden="1" customHeight="1">
      <c r="A83" s="2"/>
      <c r="B83" s="12" t="s">
        <v>231</v>
      </c>
      <c r="C83" s="12">
        <v>0</v>
      </c>
      <c r="D83" s="12">
        <v>0</v>
      </c>
      <c r="E83" s="12">
        <v>0</v>
      </c>
      <c r="F83" s="12">
        <v>0</v>
      </c>
      <c r="G83" s="12">
        <v>0</v>
      </c>
      <c r="H83" s="12">
        <v>0</v>
      </c>
      <c r="I83" s="12">
        <v>0</v>
      </c>
      <c r="J83" s="12">
        <v>0</v>
      </c>
      <c r="K83" s="12">
        <v>0</v>
      </c>
      <c r="L83" s="12">
        <v>0</v>
      </c>
      <c r="M83" s="1"/>
      <c r="N83" s="1"/>
      <c r="O83" s="1"/>
      <c r="P83" s="1"/>
      <c r="Q83" s="1"/>
      <c r="R83" s="1"/>
      <c r="S83" s="1"/>
    </row>
    <row r="84" spans="1:19" ht="18.75" hidden="1" customHeight="1">
      <c r="A84" s="2"/>
      <c r="B84" s="1" t="s">
        <v>232</v>
      </c>
      <c r="C84" s="1">
        <f t="shared" ref="C84:L84" si="32">C$74</f>
        <v>360</v>
      </c>
      <c r="D84" s="1">
        <f t="shared" si="32"/>
        <v>5906.24</v>
      </c>
      <c r="E84" s="1">
        <f t="shared" si="32"/>
        <v>360</v>
      </c>
      <c r="F84" s="1">
        <f t="shared" si="32"/>
        <v>360</v>
      </c>
      <c r="G84" s="1">
        <f t="shared" si="32"/>
        <v>360</v>
      </c>
      <c r="H84" s="1">
        <f t="shared" si="32"/>
        <v>360</v>
      </c>
      <c r="I84" s="1">
        <f t="shared" si="32"/>
        <v>360</v>
      </c>
      <c r="J84" s="1">
        <f t="shared" si="32"/>
        <v>360</v>
      </c>
      <c r="K84" s="1">
        <f t="shared" si="32"/>
        <v>360</v>
      </c>
      <c r="L84" s="1">
        <f t="shared" si="32"/>
        <v>360</v>
      </c>
      <c r="M84" s="1"/>
      <c r="N84" s="1"/>
      <c r="O84" s="1"/>
      <c r="P84" s="1"/>
      <c r="Q84" s="1"/>
      <c r="R84" s="1"/>
      <c r="S84" s="1"/>
    </row>
    <row r="85" spans="1:19" ht="18.75" hidden="1" customHeight="1">
      <c r="A85" s="2"/>
      <c r="B85" s="1" t="s">
        <v>233</v>
      </c>
      <c r="C85" s="1">
        <f t="shared" ref="C85:L85" si="33">C$74+NPV($J$2,C75)</f>
        <v>706.15384615384619</v>
      </c>
      <c r="D85" s="1">
        <f t="shared" si="33"/>
        <v>11585.316923076924</v>
      </c>
      <c r="E85" s="1">
        <f t="shared" si="33"/>
        <v>706.15384615384619</v>
      </c>
      <c r="F85" s="1">
        <f t="shared" si="33"/>
        <v>706.15384615384619</v>
      </c>
      <c r="G85" s="1">
        <f t="shared" si="33"/>
        <v>706.15384615384619</v>
      </c>
      <c r="H85" s="1">
        <f t="shared" si="33"/>
        <v>706.15384615384619</v>
      </c>
      <c r="I85" s="1">
        <f t="shared" si="33"/>
        <v>706.15384615384619</v>
      </c>
      <c r="J85" s="1">
        <f t="shared" si="33"/>
        <v>706.15384615384619</v>
      </c>
      <c r="K85" s="1">
        <f t="shared" si="33"/>
        <v>706.15384615384619</v>
      </c>
      <c r="L85" s="1">
        <f t="shared" si="33"/>
        <v>706.15384615384619</v>
      </c>
      <c r="M85" s="1"/>
      <c r="N85" s="1"/>
      <c r="O85" s="1"/>
      <c r="P85" s="1"/>
      <c r="Q85" s="1"/>
      <c r="R85" s="1"/>
      <c r="S85" s="1"/>
    </row>
    <row r="86" spans="1:19" ht="18.75" hidden="1" customHeight="1">
      <c r="A86" s="2"/>
      <c r="B86" s="1" t="s">
        <v>234</v>
      </c>
      <c r="C86" s="1">
        <f t="shared" ref="C86:L86" si="34">C$74+NPV($J$2,C75:C76)</f>
        <v>1038.9940828402368</v>
      </c>
      <c r="D86" s="1">
        <f t="shared" si="34"/>
        <v>17045.967810650887</v>
      </c>
      <c r="E86" s="1">
        <f t="shared" si="34"/>
        <v>1038.9940828402368</v>
      </c>
      <c r="F86" s="1">
        <f t="shared" si="34"/>
        <v>1038.9940828402368</v>
      </c>
      <c r="G86" s="1">
        <f t="shared" si="34"/>
        <v>1038.9940828402368</v>
      </c>
      <c r="H86" s="1">
        <f t="shared" si="34"/>
        <v>1038.9940828402368</v>
      </c>
      <c r="I86" s="1">
        <f t="shared" si="34"/>
        <v>1038.9940828402368</v>
      </c>
      <c r="J86" s="1">
        <f t="shared" si="34"/>
        <v>1038.9940828402368</v>
      </c>
      <c r="K86" s="1">
        <f t="shared" si="34"/>
        <v>1038.9940828402368</v>
      </c>
      <c r="L86" s="1">
        <f t="shared" si="34"/>
        <v>1038.9940828402368</v>
      </c>
      <c r="M86" s="1"/>
      <c r="N86" s="1"/>
      <c r="O86" s="1"/>
      <c r="P86" s="1"/>
      <c r="Q86" s="1"/>
      <c r="R86" s="1"/>
      <c r="S86" s="1"/>
    </row>
    <row r="87" spans="1:19" ht="18.75" hidden="1" customHeight="1">
      <c r="A87" s="2"/>
      <c r="B87" s="1" t="s">
        <v>235</v>
      </c>
      <c r="C87" s="1">
        <f t="shared" ref="C87:L93" si="35">C$86</f>
        <v>1038.9940828402368</v>
      </c>
      <c r="D87" s="1">
        <f t="shared" si="35"/>
        <v>17045.967810650887</v>
      </c>
      <c r="E87" s="1">
        <f t="shared" si="35"/>
        <v>1038.9940828402368</v>
      </c>
      <c r="F87" s="1">
        <f t="shared" si="35"/>
        <v>1038.9940828402368</v>
      </c>
      <c r="G87" s="1">
        <f t="shared" si="35"/>
        <v>1038.9940828402368</v>
      </c>
      <c r="H87" s="1">
        <f t="shared" si="35"/>
        <v>1038.9940828402368</v>
      </c>
      <c r="I87" s="1">
        <f t="shared" si="35"/>
        <v>1038.9940828402368</v>
      </c>
      <c r="J87" s="1">
        <f t="shared" si="35"/>
        <v>1038.9940828402368</v>
      </c>
      <c r="K87" s="1">
        <f t="shared" si="35"/>
        <v>1038.9940828402368</v>
      </c>
      <c r="L87" s="1">
        <f t="shared" si="35"/>
        <v>1038.9940828402368</v>
      </c>
      <c r="M87" s="1"/>
      <c r="N87" s="1"/>
      <c r="O87" s="1"/>
      <c r="P87" s="1"/>
      <c r="Q87" s="1"/>
      <c r="R87" s="1"/>
      <c r="S87" s="1"/>
    </row>
    <row r="88" spans="1:19" ht="18.75" hidden="1" customHeight="1">
      <c r="A88" s="2"/>
      <c r="B88" s="1" t="s">
        <v>236</v>
      </c>
      <c r="C88" s="1">
        <f t="shared" si="35"/>
        <v>1038.9940828402368</v>
      </c>
      <c r="D88" s="1">
        <f t="shared" si="35"/>
        <v>17045.967810650887</v>
      </c>
      <c r="E88" s="1">
        <f t="shared" si="35"/>
        <v>1038.9940828402368</v>
      </c>
      <c r="F88" s="1">
        <f t="shared" si="35"/>
        <v>1038.9940828402368</v>
      </c>
      <c r="G88" s="1">
        <f t="shared" si="35"/>
        <v>1038.9940828402368</v>
      </c>
      <c r="H88" s="1">
        <f t="shared" si="35"/>
        <v>1038.9940828402368</v>
      </c>
      <c r="I88" s="1">
        <f t="shared" si="35"/>
        <v>1038.9940828402368</v>
      </c>
      <c r="J88" s="1">
        <f t="shared" si="35"/>
        <v>1038.9940828402368</v>
      </c>
      <c r="K88" s="1">
        <f t="shared" si="35"/>
        <v>1038.9940828402368</v>
      </c>
      <c r="L88" s="1">
        <f t="shared" si="35"/>
        <v>1038.9940828402368</v>
      </c>
      <c r="M88" s="1"/>
      <c r="N88" s="1"/>
      <c r="O88" s="1"/>
      <c r="P88" s="1"/>
      <c r="Q88" s="1"/>
      <c r="R88" s="1"/>
      <c r="S88" s="1"/>
    </row>
    <row r="89" spans="1:19" ht="18.75" hidden="1" customHeight="1">
      <c r="A89" s="2"/>
      <c r="B89" s="1" t="s">
        <v>237</v>
      </c>
      <c r="C89" s="1">
        <f t="shared" si="35"/>
        <v>1038.9940828402368</v>
      </c>
      <c r="D89" s="1">
        <f t="shared" si="35"/>
        <v>17045.967810650887</v>
      </c>
      <c r="E89" s="1">
        <f t="shared" si="35"/>
        <v>1038.9940828402368</v>
      </c>
      <c r="F89" s="1">
        <f t="shared" si="35"/>
        <v>1038.9940828402368</v>
      </c>
      <c r="G89" s="1">
        <f t="shared" si="35"/>
        <v>1038.9940828402368</v>
      </c>
      <c r="H89" s="1">
        <f t="shared" si="35"/>
        <v>1038.9940828402368</v>
      </c>
      <c r="I89" s="1">
        <f t="shared" si="35"/>
        <v>1038.9940828402368</v>
      </c>
      <c r="J89" s="1">
        <f t="shared" si="35"/>
        <v>1038.9940828402368</v>
      </c>
      <c r="K89" s="1">
        <f t="shared" si="35"/>
        <v>1038.9940828402368</v>
      </c>
      <c r="L89" s="1">
        <f t="shared" si="35"/>
        <v>1038.9940828402368</v>
      </c>
      <c r="M89" s="1"/>
      <c r="N89" s="1"/>
      <c r="O89" s="1"/>
      <c r="P89" s="1"/>
      <c r="Q89" s="1"/>
      <c r="R89" s="1"/>
      <c r="S89" s="1"/>
    </row>
    <row r="90" spans="1:19" ht="18.75" hidden="1" customHeight="1">
      <c r="A90" s="2"/>
      <c r="B90" s="1" t="s">
        <v>238</v>
      </c>
      <c r="C90" s="1">
        <f t="shared" si="35"/>
        <v>1038.9940828402368</v>
      </c>
      <c r="D90" s="1">
        <f t="shared" si="35"/>
        <v>17045.967810650887</v>
      </c>
      <c r="E90" s="1">
        <f t="shared" si="35"/>
        <v>1038.9940828402368</v>
      </c>
      <c r="F90" s="1">
        <f t="shared" si="35"/>
        <v>1038.9940828402368</v>
      </c>
      <c r="G90" s="1">
        <f t="shared" si="35"/>
        <v>1038.9940828402368</v>
      </c>
      <c r="H90" s="1">
        <f t="shared" si="35"/>
        <v>1038.9940828402368</v>
      </c>
      <c r="I90" s="1">
        <f t="shared" si="35"/>
        <v>1038.9940828402368</v>
      </c>
      <c r="J90" s="1">
        <f t="shared" si="35"/>
        <v>1038.9940828402368</v>
      </c>
      <c r="K90" s="1">
        <f t="shared" si="35"/>
        <v>1038.9940828402368</v>
      </c>
      <c r="L90" s="1">
        <f t="shared" si="35"/>
        <v>1038.9940828402368</v>
      </c>
      <c r="M90" s="1"/>
      <c r="N90" s="1"/>
      <c r="O90" s="1"/>
      <c r="P90" s="1"/>
      <c r="Q90" s="1"/>
      <c r="R90" s="1"/>
      <c r="S90" s="1"/>
    </row>
    <row r="91" spans="1:19" ht="18.75" hidden="1" customHeight="1">
      <c r="A91" s="2"/>
      <c r="B91" s="1" t="s">
        <v>239</v>
      </c>
      <c r="C91" s="1">
        <f t="shared" si="35"/>
        <v>1038.9940828402368</v>
      </c>
      <c r="D91" s="1">
        <f t="shared" si="35"/>
        <v>17045.967810650887</v>
      </c>
      <c r="E91" s="1">
        <f t="shared" si="35"/>
        <v>1038.9940828402368</v>
      </c>
      <c r="F91" s="1">
        <f t="shared" si="35"/>
        <v>1038.9940828402368</v>
      </c>
      <c r="G91" s="1">
        <f t="shared" si="35"/>
        <v>1038.9940828402368</v>
      </c>
      <c r="H91" s="1">
        <f t="shared" si="35"/>
        <v>1038.9940828402368</v>
      </c>
      <c r="I91" s="1">
        <f t="shared" si="35"/>
        <v>1038.9940828402368</v>
      </c>
      <c r="J91" s="1">
        <f t="shared" si="35"/>
        <v>1038.9940828402368</v>
      </c>
      <c r="K91" s="1">
        <f t="shared" si="35"/>
        <v>1038.9940828402368</v>
      </c>
      <c r="L91" s="1">
        <f t="shared" si="35"/>
        <v>1038.9940828402368</v>
      </c>
      <c r="M91" s="1"/>
      <c r="N91" s="1"/>
      <c r="O91" s="1"/>
      <c r="P91" s="1"/>
      <c r="Q91" s="1"/>
      <c r="R91" s="1"/>
      <c r="S91" s="1"/>
    </row>
    <row r="92" spans="1:19" ht="18.75" hidden="1" customHeight="1">
      <c r="A92" s="2"/>
      <c r="B92" s="1" t="s">
        <v>240</v>
      </c>
      <c r="C92" s="1">
        <f t="shared" si="35"/>
        <v>1038.9940828402368</v>
      </c>
      <c r="D92" s="1">
        <f t="shared" si="35"/>
        <v>17045.967810650887</v>
      </c>
      <c r="E92" s="1">
        <f t="shared" si="35"/>
        <v>1038.9940828402368</v>
      </c>
      <c r="F92" s="1">
        <f t="shared" si="35"/>
        <v>1038.9940828402368</v>
      </c>
      <c r="G92" s="1">
        <f t="shared" si="35"/>
        <v>1038.9940828402368</v>
      </c>
      <c r="H92" s="1">
        <f t="shared" si="35"/>
        <v>1038.9940828402368</v>
      </c>
      <c r="I92" s="1">
        <f t="shared" si="35"/>
        <v>1038.9940828402368</v>
      </c>
      <c r="J92" s="1">
        <f t="shared" si="35"/>
        <v>1038.9940828402368</v>
      </c>
      <c r="K92" s="1">
        <f t="shared" si="35"/>
        <v>1038.9940828402368</v>
      </c>
      <c r="L92" s="1">
        <f t="shared" si="35"/>
        <v>1038.9940828402368</v>
      </c>
      <c r="M92" s="1"/>
      <c r="N92" s="1"/>
      <c r="O92" s="1"/>
      <c r="P92" s="1"/>
      <c r="Q92" s="1"/>
      <c r="R92" s="1"/>
      <c r="S92" s="1"/>
    </row>
    <row r="93" spans="1:19" ht="18.75" hidden="1" customHeight="1">
      <c r="A93" s="2"/>
      <c r="B93" s="12" t="s">
        <v>241</v>
      </c>
      <c r="C93" s="12">
        <f t="shared" si="35"/>
        <v>1038.9940828402368</v>
      </c>
      <c r="D93" s="12">
        <f t="shared" si="35"/>
        <v>17045.967810650887</v>
      </c>
      <c r="E93" s="12">
        <f t="shared" si="35"/>
        <v>1038.9940828402368</v>
      </c>
      <c r="F93" s="12">
        <f t="shared" si="35"/>
        <v>1038.9940828402368</v>
      </c>
      <c r="G93" s="12">
        <f t="shared" si="35"/>
        <v>1038.9940828402368</v>
      </c>
      <c r="H93" s="12">
        <f t="shared" si="35"/>
        <v>1038.9940828402368</v>
      </c>
      <c r="I93" s="12">
        <f t="shared" si="35"/>
        <v>1038.9940828402368</v>
      </c>
      <c r="J93" s="12">
        <f t="shared" si="35"/>
        <v>1038.9940828402368</v>
      </c>
      <c r="K93" s="12">
        <f t="shared" si="35"/>
        <v>1038.9940828402368</v>
      </c>
      <c r="L93" s="12">
        <f t="shared" si="35"/>
        <v>1038.9940828402368</v>
      </c>
      <c r="M93" s="1"/>
      <c r="N93" s="1"/>
      <c r="O93" s="1"/>
      <c r="P93" s="1"/>
      <c r="Q93" s="1"/>
      <c r="R93" s="1"/>
      <c r="S93" s="1"/>
    </row>
    <row r="94" spans="1:19" ht="18.75" hidden="1" customHeight="1">
      <c r="A94" s="2"/>
      <c r="B94" s="1" t="s">
        <v>242</v>
      </c>
      <c r="C94" s="3">
        <f t="shared" ref="C94:L94" si="36">360+IF(C$14&lt;$O$19,0,(C$14-$O$19)*$P$19*IF(OR(C$13=$E$7,C$13=$E$8),0.5,1))+IF(ISNUMBER(SEARCH($E$5,C$13)),$S$3+C$14*$S$4,0)</f>
        <v>360</v>
      </c>
      <c r="D94" s="3">
        <f t="shared" si="36"/>
        <v>3034.24</v>
      </c>
      <c r="E94" s="3">
        <f t="shared" si="36"/>
        <v>360</v>
      </c>
      <c r="F94" s="3">
        <f t="shared" si="36"/>
        <v>360</v>
      </c>
      <c r="G94" s="3">
        <f t="shared" si="36"/>
        <v>360</v>
      </c>
      <c r="H94" s="3">
        <f t="shared" si="36"/>
        <v>360</v>
      </c>
      <c r="I94" s="3">
        <f t="shared" si="36"/>
        <v>360</v>
      </c>
      <c r="J94" s="3">
        <f t="shared" si="36"/>
        <v>360</v>
      </c>
      <c r="K94" s="3">
        <f t="shared" si="36"/>
        <v>360</v>
      </c>
      <c r="L94" s="3">
        <f t="shared" si="36"/>
        <v>360</v>
      </c>
      <c r="M94" s="1"/>
      <c r="N94" s="1"/>
      <c r="O94" s="1"/>
      <c r="P94" s="1"/>
      <c r="Q94" s="1"/>
      <c r="R94" s="1"/>
      <c r="S94" s="1"/>
    </row>
    <row r="95" spans="1:19" ht="18.75" hidden="1" customHeight="1">
      <c r="A95" s="2"/>
      <c r="B95" s="1" t="s">
        <v>243</v>
      </c>
      <c r="C95" s="1">
        <f t="shared" ref="C95:L96" si="37">C$94</f>
        <v>360</v>
      </c>
      <c r="D95" s="1">
        <f t="shared" si="37"/>
        <v>3034.24</v>
      </c>
      <c r="E95" s="1">
        <f t="shared" si="37"/>
        <v>360</v>
      </c>
      <c r="F95" s="1">
        <f t="shared" si="37"/>
        <v>360</v>
      </c>
      <c r="G95" s="1">
        <f t="shared" si="37"/>
        <v>360</v>
      </c>
      <c r="H95" s="1">
        <f t="shared" si="37"/>
        <v>360</v>
      </c>
      <c r="I95" s="1">
        <f t="shared" si="37"/>
        <v>360</v>
      </c>
      <c r="J95" s="1">
        <f t="shared" si="37"/>
        <v>360</v>
      </c>
      <c r="K95" s="1">
        <f t="shared" si="37"/>
        <v>360</v>
      </c>
      <c r="L95" s="1">
        <f t="shared" si="37"/>
        <v>360</v>
      </c>
      <c r="M95" s="1"/>
      <c r="N95" s="1"/>
      <c r="O95" s="1"/>
      <c r="P95" s="1"/>
      <c r="Q95" s="1"/>
      <c r="R95" s="1"/>
      <c r="S95" s="1"/>
    </row>
    <row r="96" spans="1:19" ht="18.75" hidden="1" customHeight="1">
      <c r="A96" s="2"/>
      <c r="B96" s="1" t="s">
        <v>244</v>
      </c>
      <c r="C96" s="1">
        <f t="shared" si="37"/>
        <v>360</v>
      </c>
      <c r="D96" s="1">
        <f t="shared" si="37"/>
        <v>3034.24</v>
      </c>
      <c r="E96" s="1">
        <f t="shared" si="37"/>
        <v>360</v>
      </c>
      <c r="F96" s="1">
        <f t="shared" si="37"/>
        <v>360</v>
      </c>
      <c r="G96" s="1">
        <f t="shared" si="37"/>
        <v>360</v>
      </c>
      <c r="H96" s="1">
        <f t="shared" si="37"/>
        <v>360</v>
      </c>
      <c r="I96" s="1">
        <f t="shared" si="37"/>
        <v>360</v>
      </c>
      <c r="J96" s="1">
        <f t="shared" si="37"/>
        <v>360</v>
      </c>
      <c r="K96" s="1">
        <f t="shared" si="37"/>
        <v>360</v>
      </c>
      <c r="L96" s="1">
        <f t="shared" si="37"/>
        <v>360</v>
      </c>
      <c r="M96" s="1"/>
      <c r="N96" s="1"/>
      <c r="O96" s="1"/>
      <c r="P96" s="1"/>
      <c r="Q96" s="1"/>
      <c r="R96" s="1"/>
      <c r="S96" s="1"/>
    </row>
    <row r="97" spans="1:19" ht="18.75" hidden="1" customHeight="1">
      <c r="A97" s="2"/>
      <c r="B97" s="1" t="s">
        <v>245</v>
      </c>
      <c r="C97" s="1">
        <v>0</v>
      </c>
      <c r="D97" s="1">
        <v>0</v>
      </c>
      <c r="E97" s="1">
        <v>0</v>
      </c>
      <c r="F97" s="1">
        <v>0</v>
      </c>
      <c r="G97" s="1">
        <v>0</v>
      </c>
      <c r="H97" s="1">
        <v>0</v>
      </c>
      <c r="I97" s="1">
        <v>0</v>
      </c>
      <c r="J97" s="1">
        <v>0</v>
      </c>
      <c r="K97" s="1">
        <v>0</v>
      </c>
      <c r="L97" s="1">
        <v>0</v>
      </c>
      <c r="M97" s="1"/>
      <c r="N97" s="1"/>
      <c r="O97" s="1"/>
      <c r="P97" s="1"/>
      <c r="Q97" s="1"/>
      <c r="R97" s="1"/>
      <c r="S97" s="1"/>
    </row>
    <row r="98" spans="1:19" ht="18.75" hidden="1" customHeight="1">
      <c r="A98" s="2"/>
      <c r="B98" s="1" t="s">
        <v>246</v>
      </c>
      <c r="C98" s="1">
        <v>0</v>
      </c>
      <c r="D98" s="1">
        <v>0</v>
      </c>
      <c r="E98" s="1">
        <v>0</v>
      </c>
      <c r="F98" s="1">
        <v>0</v>
      </c>
      <c r="G98" s="1">
        <v>0</v>
      </c>
      <c r="H98" s="1">
        <v>0</v>
      </c>
      <c r="I98" s="1">
        <v>0</v>
      </c>
      <c r="J98" s="1">
        <v>0</v>
      </c>
      <c r="K98" s="1">
        <v>0</v>
      </c>
      <c r="L98" s="1">
        <v>0</v>
      </c>
      <c r="M98" s="1"/>
      <c r="N98" s="1"/>
      <c r="O98" s="1"/>
      <c r="P98" s="1"/>
      <c r="Q98" s="1"/>
      <c r="R98" s="1"/>
      <c r="S98" s="1"/>
    </row>
    <row r="99" spans="1:19" ht="18.75" hidden="1" customHeight="1">
      <c r="A99" s="2"/>
      <c r="B99" s="1" t="s">
        <v>247</v>
      </c>
      <c r="C99" s="1">
        <v>0</v>
      </c>
      <c r="D99" s="1">
        <v>0</v>
      </c>
      <c r="E99" s="1">
        <v>0</v>
      </c>
      <c r="F99" s="1">
        <v>0</v>
      </c>
      <c r="G99" s="1">
        <v>0</v>
      </c>
      <c r="H99" s="1">
        <v>0</v>
      </c>
      <c r="I99" s="1">
        <v>0</v>
      </c>
      <c r="J99" s="1">
        <v>0</v>
      </c>
      <c r="K99" s="1">
        <v>0</v>
      </c>
      <c r="L99" s="1">
        <v>0</v>
      </c>
      <c r="M99" s="1"/>
      <c r="N99" s="1"/>
      <c r="O99" s="1"/>
      <c r="P99" s="1"/>
      <c r="Q99" s="1"/>
      <c r="R99" s="1"/>
      <c r="S99" s="1"/>
    </row>
    <row r="100" spans="1:19" ht="18.75" hidden="1" customHeight="1">
      <c r="A100" s="2"/>
      <c r="B100" s="1" t="s">
        <v>248</v>
      </c>
      <c r="C100" s="1">
        <v>0</v>
      </c>
      <c r="D100" s="1">
        <v>0</v>
      </c>
      <c r="E100" s="1">
        <v>0</v>
      </c>
      <c r="F100" s="1">
        <v>0</v>
      </c>
      <c r="G100" s="1">
        <v>0</v>
      </c>
      <c r="H100" s="1">
        <v>0</v>
      </c>
      <c r="I100" s="1">
        <v>0</v>
      </c>
      <c r="J100" s="1">
        <v>0</v>
      </c>
      <c r="K100" s="1">
        <v>0</v>
      </c>
      <c r="L100" s="1">
        <v>0</v>
      </c>
      <c r="M100" s="1"/>
      <c r="N100" s="1"/>
      <c r="O100" s="1"/>
      <c r="P100" s="1"/>
      <c r="Q100" s="1"/>
      <c r="R100" s="1"/>
      <c r="S100" s="1"/>
    </row>
    <row r="101" spans="1:19" ht="18.75" hidden="1" customHeight="1">
      <c r="A101" s="2"/>
      <c r="B101" s="1" t="s">
        <v>249</v>
      </c>
      <c r="C101" s="1">
        <v>0</v>
      </c>
      <c r="D101" s="1">
        <v>0</v>
      </c>
      <c r="E101" s="1">
        <v>0</v>
      </c>
      <c r="F101" s="1">
        <v>0</v>
      </c>
      <c r="G101" s="1">
        <v>0</v>
      </c>
      <c r="H101" s="1">
        <v>0</v>
      </c>
      <c r="I101" s="1">
        <v>0</v>
      </c>
      <c r="J101" s="1">
        <v>0</v>
      </c>
      <c r="K101" s="1">
        <v>0</v>
      </c>
      <c r="L101" s="1">
        <v>0</v>
      </c>
      <c r="M101" s="1"/>
      <c r="N101" s="1"/>
      <c r="O101" s="1"/>
      <c r="P101" s="1"/>
      <c r="Q101" s="1"/>
      <c r="R101" s="1"/>
      <c r="S101" s="1"/>
    </row>
    <row r="102" spans="1:19" ht="18.75" hidden="1" customHeight="1">
      <c r="A102" s="2"/>
      <c r="B102" s="1" t="s">
        <v>250</v>
      </c>
      <c r="C102" s="1">
        <v>0</v>
      </c>
      <c r="D102" s="1">
        <v>0</v>
      </c>
      <c r="E102" s="1">
        <v>0</v>
      </c>
      <c r="F102" s="1">
        <v>0</v>
      </c>
      <c r="G102" s="1">
        <v>0</v>
      </c>
      <c r="H102" s="1">
        <v>0</v>
      </c>
      <c r="I102" s="1">
        <v>0</v>
      </c>
      <c r="J102" s="1">
        <v>0</v>
      </c>
      <c r="K102" s="1">
        <v>0</v>
      </c>
      <c r="L102" s="1">
        <v>0</v>
      </c>
      <c r="M102" s="1"/>
      <c r="N102" s="1"/>
      <c r="O102" s="1"/>
      <c r="P102" s="1"/>
      <c r="Q102" s="1"/>
      <c r="R102" s="1"/>
      <c r="S102" s="1"/>
    </row>
    <row r="103" spans="1:19" ht="18.75" hidden="1" customHeight="1">
      <c r="A103" s="2"/>
      <c r="B103" s="12" t="s">
        <v>251</v>
      </c>
      <c r="C103" s="12">
        <v>0</v>
      </c>
      <c r="D103" s="12">
        <v>0</v>
      </c>
      <c r="E103" s="12">
        <v>0</v>
      </c>
      <c r="F103" s="12">
        <v>0</v>
      </c>
      <c r="G103" s="12">
        <v>0</v>
      </c>
      <c r="H103" s="12">
        <v>0</v>
      </c>
      <c r="I103" s="12">
        <v>0</v>
      </c>
      <c r="J103" s="12">
        <v>0</v>
      </c>
      <c r="K103" s="12">
        <v>0</v>
      </c>
      <c r="L103" s="12">
        <v>0</v>
      </c>
      <c r="M103" s="1"/>
      <c r="N103" s="1"/>
      <c r="O103" s="1"/>
      <c r="P103" s="1"/>
      <c r="Q103" s="1"/>
      <c r="R103" s="1"/>
      <c r="S103" s="1"/>
    </row>
    <row r="104" spans="1:19" ht="18.75" hidden="1" customHeight="1">
      <c r="A104" s="2"/>
      <c r="B104" s="1" t="s">
        <v>252</v>
      </c>
      <c r="C104" s="1">
        <f t="shared" ref="C104:L104" si="38">C$94</f>
        <v>360</v>
      </c>
      <c r="D104" s="1">
        <f t="shared" si="38"/>
        <v>3034.24</v>
      </c>
      <c r="E104" s="1">
        <f t="shared" si="38"/>
        <v>360</v>
      </c>
      <c r="F104" s="1">
        <f t="shared" si="38"/>
        <v>360</v>
      </c>
      <c r="G104" s="1">
        <f t="shared" si="38"/>
        <v>360</v>
      </c>
      <c r="H104" s="1">
        <f t="shared" si="38"/>
        <v>360</v>
      </c>
      <c r="I104" s="1">
        <f t="shared" si="38"/>
        <v>360</v>
      </c>
      <c r="J104" s="1">
        <f t="shared" si="38"/>
        <v>360</v>
      </c>
      <c r="K104" s="1">
        <f t="shared" si="38"/>
        <v>360</v>
      </c>
      <c r="L104" s="1">
        <f t="shared" si="38"/>
        <v>360</v>
      </c>
      <c r="M104" s="1"/>
      <c r="N104" s="1"/>
      <c r="O104" s="1"/>
      <c r="P104" s="1"/>
      <c r="Q104" s="1"/>
      <c r="R104" s="1"/>
      <c r="S104" s="1"/>
    </row>
    <row r="105" spans="1:19" ht="18.75" hidden="1" customHeight="1">
      <c r="A105" s="2"/>
      <c r="B105" s="1" t="s">
        <v>253</v>
      </c>
      <c r="C105" s="1">
        <f t="shared" ref="C105:L105" si="39">C$94+NPV($J$2,C95)</f>
        <v>706.15384615384619</v>
      </c>
      <c r="D105" s="1">
        <f t="shared" si="39"/>
        <v>5951.7784615384608</v>
      </c>
      <c r="E105" s="1">
        <f t="shared" si="39"/>
        <v>706.15384615384619</v>
      </c>
      <c r="F105" s="1">
        <f t="shared" si="39"/>
        <v>706.15384615384619</v>
      </c>
      <c r="G105" s="1">
        <f t="shared" si="39"/>
        <v>706.15384615384619</v>
      </c>
      <c r="H105" s="1">
        <f t="shared" si="39"/>
        <v>706.15384615384619</v>
      </c>
      <c r="I105" s="1">
        <f t="shared" si="39"/>
        <v>706.15384615384619</v>
      </c>
      <c r="J105" s="1">
        <f t="shared" si="39"/>
        <v>706.15384615384619</v>
      </c>
      <c r="K105" s="1">
        <f t="shared" si="39"/>
        <v>706.15384615384619</v>
      </c>
      <c r="L105" s="1">
        <f t="shared" si="39"/>
        <v>706.15384615384619</v>
      </c>
      <c r="M105" s="1"/>
      <c r="N105" s="1"/>
      <c r="O105" s="1"/>
      <c r="P105" s="1"/>
      <c r="Q105" s="1"/>
      <c r="R105" s="1"/>
      <c r="S105" s="1"/>
    </row>
    <row r="106" spans="1:19" ht="18.75" hidden="1" customHeight="1">
      <c r="A106" s="2"/>
      <c r="B106" s="1" t="s">
        <v>254</v>
      </c>
      <c r="C106" s="1">
        <f t="shared" ref="C106:L106" si="40">C$94+NPV($J$2,C95:C96)</f>
        <v>1038.9940828402368</v>
      </c>
      <c r="D106" s="1">
        <f t="shared" si="40"/>
        <v>8757.1039053254426</v>
      </c>
      <c r="E106" s="1">
        <f t="shared" si="40"/>
        <v>1038.9940828402368</v>
      </c>
      <c r="F106" s="1">
        <f t="shared" si="40"/>
        <v>1038.9940828402368</v>
      </c>
      <c r="G106" s="1">
        <f t="shared" si="40"/>
        <v>1038.9940828402368</v>
      </c>
      <c r="H106" s="1">
        <f t="shared" si="40"/>
        <v>1038.9940828402368</v>
      </c>
      <c r="I106" s="1">
        <f t="shared" si="40"/>
        <v>1038.9940828402368</v>
      </c>
      <c r="J106" s="1">
        <f t="shared" si="40"/>
        <v>1038.9940828402368</v>
      </c>
      <c r="K106" s="1">
        <f t="shared" si="40"/>
        <v>1038.9940828402368</v>
      </c>
      <c r="L106" s="1">
        <f t="shared" si="40"/>
        <v>1038.9940828402368</v>
      </c>
      <c r="M106" s="1"/>
      <c r="N106" s="1"/>
      <c r="O106" s="1"/>
      <c r="P106" s="1"/>
      <c r="Q106" s="1"/>
      <c r="R106" s="1"/>
      <c r="S106" s="1"/>
    </row>
    <row r="107" spans="1:19" ht="18.75" hidden="1" customHeight="1">
      <c r="A107" s="2"/>
      <c r="B107" s="1" t="s">
        <v>255</v>
      </c>
      <c r="C107" s="1">
        <f t="shared" ref="C107:L113" si="41">C$106</f>
        <v>1038.9940828402368</v>
      </c>
      <c r="D107" s="1">
        <f t="shared" si="41"/>
        <v>8757.1039053254426</v>
      </c>
      <c r="E107" s="1">
        <f t="shared" si="41"/>
        <v>1038.9940828402368</v>
      </c>
      <c r="F107" s="1">
        <f t="shared" si="41"/>
        <v>1038.9940828402368</v>
      </c>
      <c r="G107" s="1">
        <f t="shared" si="41"/>
        <v>1038.9940828402368</v>
      </c>
      <c r="H107" s="1">
        <f t="shared" si="41"/>
        <v>1038.9940828402368</v>
      </c>
      <c r="I107" s="1">
        <f t="shared" si="41"/>
        <v>1038.9940828402368</v>
      </c>
      <c r="J107" s="1">
        <f t="shared" si="41"/>
        <v>1038.9940828402368</v>
      </c>
      <c r="K107" s="1">
        <f t="shared" si="41"/>
        <v>1038.9940828402368</v>
      </c>
      <c r="L107" s="1">
        <f t="shared" si="41"/>
        <v>1038.9940828402368</v>
      </c>
      <c r="M107" s="1"/>
      <c r="N107" s="1"/>
      <c r="O107" s="1"/>
      <c r="P107" s="1"/>
      <c r="Q107" s="1"/>
      <c r="R107" s="1"/>
      <c r="S107" s="1"/>
    </row>
    <row r="108" spans="1:19" ht="18.75" hidden="1" customHeight="1">
      <c r="A108" s="2"/>
      <c r="B108" s="1" t="s">
        <v>256</v>
      </c>
      <c r="C108" s="1">
        <f t="shared" si="41"/>
        <v>1038.9940828402368</v>
      </c>
      <c r="D108" s="1">
        <f t="shared" si="41"/>
        <v>8757.1039053254426</v>
      </c>
      <c r="E108" s="1">
        <f t="shared" si="41"/>
        <v>1038.9940828402368</v>
      </c>
      <c r="F108" s="1">
        <f t="shared" si="41"/>
        <v>1038.9940828402368</v>
      </c>
      <c r="G108" s="1">
        <f t="shared" si="41"/>
        <v>1038.9940828402368</v>
      </c>
      <c r="H108" s="1">
        <f t="shared" si="41"/>
        <v>1038.9940828402368</v>
      </c>
      <c r="I108" s="1">
        <f t="shared" si="41"/>
        <v>1038.9940828402368</v>
      </c>
      <c r="J108" s="1">
        <f t="shared" si="41"/>
        <v>1038.9940828402368</v>
      </c>
      <c r="K108" s="1">
        <f t="shared" si="41"/>
        <v>1038.9940828402368</v>
      </c>
      <c r="L108" s="1">
        <f t="shared" si="41"/>
        <v>1038.9940828402368</v>
      </c>
      <c r="M108" s="1"/>
      <c r="N108" s="1"/>
      <c r="O108" s="1"/>
      <c r="P108" s="1"/>
      <c r="Q108" s="1"/>
      <c r="R108" s="1"/>
      <c r="S108" s="1"/>
    </row>
    <row r="109" spans="1:19" ht="18.75" hidden="1" customHeight="1">
      <c r="A109" s="2"/>
      <c r="B109" s="1" t="s">
        <v>257</v>
      </c>
      <c r="C109" s="1">
        <f t="shared" si="41"/>
        <v>1038.9940828402368</v>
      </c>
      <c r="D109" s="1">
        <f t="shared" si="41"/>
        <v>8757.1039053254426</v>
      </c>
      <c r="E109" s="1">
        <f t="shared" si="41"/>
        <v>1038.9940828402368</v>
      </c>
      <c r="F109" s="1">
        <f t="shared" si="41"/>
        <v>1038.9940828402368</v>
      </c>
      <c r="G109" s="1">
        <f t="shared" si="41"/>
        <v>1038.9940828402368</v>
      </c>
      <c r="H109" s="1">
        <f t="shared" si="41"/>
        <v>1038.9940828402368</v>
      </c>
      <c r="I109" s="1">
        <f t="shared" si="41"/>
        <v>1038.9940828402368</v>
      </c>
      <c r="J109" s="1">
        <f t="shared" si="41"/>
        <v>1038.9940828402368</v>
      </c>
      <c r="K109" s="1">
        <f t="shared" si="41"/>
        <v>1038.9940828402368</v>
      </c>
      <c r="L109" s="1">
        <f t="shared" si="41"/>
        <v>1038.9940828402368</v>
      </c>
      <c r="M109" s="1"/>
      <c r="N109" s="1"/>
      <c r="O109" s="1"/>
      <c r="P109" s="1"/>
      <c r="Q109" s="1"/>
      <c r="R109" s="1"/>
      <c r="S109" s="1"/>
    </row>
    <row r="110" spans="1:19" ht="18.75" hidden="1" customHeight="1">
      <c r="A110" s="2"/>
      <c r="B110" s="1" t="s">
        <v>258</v>
      </c>
      <c r="C110" s="1">
        <f t="shared" si="41"/>
        <v>1038.9940828402368</v>
      </c>
      <c r="D110" s="1">
        <f t="shared" si="41"/>
        <v>8757.1039053254426</v>
      </c>
      <c r="E110" s="1">
        <f t="shared" si="41"/>
        <v>1038.9940828402368</v>
      </c>
      <c r="F110" s="1">
        <f t="shared" si="41"/>
        <v>1038.9940828402368</v>
      </c>
      <c r="G110" s="1">
        <f t="shared" si="41"/>
        <v>1038.9940828402368</v>
      </c>
      <c r="H110" s="1">
        <f t="shared" si="41"/>
        <v>1038.9940828402368</v>
      </c>
      <c r="I110" s="1">
        <f t="shared" si="41"/>
        <v>1038.9940828402368</v>
      </c>
      <c r="J110" s="1">
        <f t="shared" si="41"/>
        <v>1038.9940828402368</v>
      </c>
      <c r="K110" s="1">
        <f t="shared" si="41"/>
        <v>1038.9940828402368</v>
      </c>
      <c r="L110" s="1">
        <f t="shared" si="41"/>
        <v>1038.9940828402368</v>
      </c>
      <c r="M110" s="1"/>
      <c r="N110" s="1"/>
      <c r="O110" s="1"/>
      <c r="P110" s="1"/>
      <c r="Q110" s="1"/>
      <c r="R110" s="1"/>
      <c r="S110" s="1"/>
    </row>
    <row r="111" spans="1:19" ht="18.75" hidden="1" customHeight="1">
      <c r="A111" s="2"/>
      <c r="B111" s="1" t="s">
        <v>259</v>
      </c>
      <c r="C111" s="1">
        <f t="shared" si="41"/>
        <v>1038.9940828402368</v>
      </c>
      <c r="D111" s="1">
        <f t="shared" si="41"/>
        <v>8757.1039053254426</v>
      </c>
      <c r="E111" s="1">
        <f t="shared" si="41"/>
        <v>1038.9940828402368</v>
      </c>
      <c r="F111" s="1">
        <f t="shared" si="41"/>
        <v>1038.9940828402368</v>
      </c>
      <c r="G111" s="1">
        <f t="shared" si="41"/>
        <v>1038.9940828402368</v>
      </c>
      <c r="H111" s="1">
        <f t="shared" si="41"/>
        <v>1038.9940828402368</v>
      </c>
      <c r="I111" s="1">
        <f t="shared" si="41"/>
        <v>1038.9940828402368</v>
      </c>
      <c r="J111" s="1">
        <f t="shared" si="41"/>
        <v>1038.9940828402368</v>
      </c>
      <c r="K111" s="1">
        <f t="shared" si="41"/>
        <v>1038.9940828402368</v>
      </c>
      <c r="L111" s="1">
        <f t="shared" si="41"/>
        <v>1038.9940828402368</v>
      </c>
      <c r="M111" s="1"/>
      <c r="N111" s="1"/>
      <c r="O111" s="1"/>
      <c r="P111" s="1"/>
      <c r="Q111" s="1"/>
      <c r="R111" s="1"/>
      <c r="S111" s="1"/>
    </row>
    <row r="112" spans="1:19" ht="18.75" hidden="1" customHeight="1">
      <c r="A112" s="2"/>
      <c r="B112" s="1" t="s">
        <v>260</v>
      </c>
      <c r="C112" s="1">
        <f t="shared" si="41"/>
        <v>1038.9940828402368</v>
      </c>
      <c r="D112" s="1">
        <f t="shared" si="41"/>
        <v>8757.1039053254426</v>
      </c>
      <c r="E112" s="1">
        <f t="shared" si="41"/>
        <v>1038.9940828402368</v>
      </c>
      <c r="F112" s="1">
        <f t="shared" si="41"/>
        <v>1038.9940828402368</v>
      </c>
      <c r="G112" s="1">
        <f t="shared" si="41"/>
        <v>1038.9940828402368</v>
      </c>
      <c r="H112" s="1">
        <f t="shared" si="41"/>
        <v>1038.9940828402368</v>
      </c>
      <c r="I112" s="1">
        <f t="shared" si="41"/>
        <v>1038.9940828402368</v>
      </c>
      <c r="J112" s="1">
        <f t="shared" si="41"/>
        <v>1038.9940828402368</v>
      </c>
      <c r="K112" s="1">
        <f t="shared" si="41"/>
        <v>1038.9940828402368</v>
      </c>
      <c r="L112" s="1">
        <f t="shared" si="41"/>
        <v>1038.9940828402368</v>
      </c>
      <c r="M112" s="1"/>
      <c r="N112" s="1"/>
      <c r="O112" s="1"/>
      <c r="P112" s="1"/>
      <c r="Q112" s="1"/>
      <c r="R112" s="1"/>
      <c r="S112" s="1"/>
    </row>
    <row r="113" spans="1:19" ht="18.75" hidden="1" customHeight="1">
      <c r="A113" s="2"/>
      <c r="B113" s="12" t="s">
        <v>261</v>
      </c>
      <c r="C113" s="12">
        <f t="shared" si="41"/>
        <v>1038.9940828402368</v>
      </c>
      <c r="D113" s="12">
        <f t="shared" si="41"/>
        <v>8757.1039053254426</v>
      </c>
      <c r="E113" s="12">
        <f t="shared" si="41"/>
        <v>1038.9940828402368</v>
      </c>
      <c r="F113" s="12">
        <f t="shared" si="41"/>
        <v>1038.9940828402368</v>
      </c>
      <c r="G113" s="12">
        <f t="shared" si="41"/>
        <v>1038.9940828402368</v>
      </c>
      <c r="H113" s="12">
        <f t="shared" si="41"/>
        <v>1038.9940828402368</v>
      </c>
      <c r="I113" s="12">
        <f t="shared" si="41"/>
        <v>1038.9940828402368</v>
      </c>
      <c r="J113" s="12">
        <f t="shared" si="41"/>
        <v>1038.9940828402368</v>
      </c>
      <c r="K113" s="12">
        <f t="shared" si="41"/>
        <v>1038.9940828402368</v>
      </c>
      <c r="L113" s="12">
        <f t="shared" si="41"/>
        <v>1038.9940828402368</v>
      </c>
      <c r="M113" s="1"/>
      <c r="N113" s="1"/>
      <c r="O113" s="1"/>
      <c r="P113" s="1"/>
      <c r="Q113" s="1"/>
      <c r="R113" s="1"/>
      <c r="S113" s="1"/>
    </row>
    <row r="114" spans="1:19" ht="18.75" hidden="1" customHeight="1">
      <c r="A114" s="2"/>
      <c r="B114" s="1" t="s">
        <v>324</v>
      </c>
      <c r="C114" s="1">
        <f>C$18*12</f>
        <v>5088</v>
      </c>
      <c r="D114" s="1">
        <f t="shared" ref="D114:L114" si="42">D$18*12</f>
        <v>2544</v>
      </c>
      <c r="E114" s="1">
        <f t="shared" si="42"/>
        <v>5088</v>
      </c>
      <c r="F114" s="1">
        <f t="shared" si="42"/>
        <v>0</v>
      </c>
      <c r="G114" s="1">
        <f t="shared" si="42"/>
        <v>0</v>
      </c>
      <c r="H114" s="1">
        <f t="shared" si="42"/>
        <v>0</v>
      </c>
      <c r="I114" s="1">
        <f t="shared" si="42"/>
        <v>0</v>
      </c>
      <c r="J114" s="1">
        <f t="shared" si="42"/>
        <v>0</v>
      </c>
      <c r="K114" s="1">
        <f t="shared" si="42"/>
        <v>0</v>
      </c>
      <c r="L114" s="1">
        <f t="shared" si="42"/>
        <v>0</v>
      </c>
      <c r="M114" s="1"/>
      <c r="N114" s="1"/>
      <c r="O114" s="1"/>
      <c r="P114" s="1"/>
      <c r="Q114" s="1"/>
      <c r="R114" s="1"/>
      <c r="S114" s="1"/>
    </row>
    <row r="115" spans="1:19" ht="18.75" hidden="1" customHeight="1">
      <c r="A115" s="2"/>
      <c r="B115" s="1" t="s">
        <v>325</v>
      </c>
      <c r="C115" s="1">
        <f t="shared" ref="C115:L116" si="43">C$114</f>
        <v>5088</v>
      </c>
      <c r="D115" s="1">
        <f t="shared" si="43"/>
        <v>2544</v>
      </c>
      <c r="E115" s="1">
        <f t="shared" si="43"/>
        <v>5088</v>
      </c>
      <c r="F115" s="1">
        <f t="shared" si="43"/>
        <v>0</v>
      </c>
      <c r="G115" s="1">
        <f t="shared" si="43"/>
        <v>0</v>
      </c>
      <c r="H115" s="1">
        <f t="shared" si="43"/>
        <v>0</v>
      </c>
      <c r="I115" s="1">
        <f t="shared" si="43"/>
        <v>0</v>
      </c>
      <c r="J115" s="1">
        <f t="shared" si="43"/>
        <v>0</v>
      </c>
      <c r="K115" s="1">
        <f t="shared" si="43"/>
        <v>0</v>
      </c>
      <c r="L115" s="1">
        <f t="shared" si="43"/>
        <v>0</v>
      </c>
      <c r="M115" s="1"/>
      <c r="N115" s="1"/>
      <c r="O115" s="1"/>
      <c r="P115" s="1"/>
      <c r="Q115" s="1"/>
      <c r="R115" s="1"/>
      <c r="S115" s="1"/>
    </row>
    <row r="116" spans="1:19" ht="18.75" hidden="1" customHeight="1">
      <c r="A116" s="2"/>
      <c r="B116" s="1" t="s">
        <v>326</v>
      </c>
      <c r="C116" s="1">
        <f t="shared" si="43"/>
        <v>5088</v>
      </c>
      <c r="D116" s="1">
        <f t="shared" si="43"/>
        <v>2544</v>
      </c>
      <c r="E116" s="1">
        <f t="shared" si="43"/>
        <v>5088</v>
      </c>
      <c r="F116" s="1">
        <f t="shared" si="43"/>
        <v>0</v>
      </c>
      <c r="G116" s="1">
        <f t="shared" si="43"/>
        <v>0</v>
      </c>
      <c r="H116" s="1">
        <f t="shared" si="43"/>
        <v>0</v>
      </c>
      <c r="I116" s="1">
        <f t="shared" si="43"/>
        <v>0</v>
      </c>
      <c r="J116" s="1">
        <f t="shared" si="43"/>
        <v>0</v>
      </c>
      <c r="K116" s="1">
        <f t="shared" si="43"/>
        <v>0</v>
      </c>
      <c r="L116" s="1">
        <f t="shared" si="43"/>
        <v>0</v>
      </c>
      <c r="M116" s="1"/>
      <c r="N116" s="1"/>
      <c r="O116" s="1"/>
      <c r="P116" s="1"/>
      <c r="Q116" s="1"/>
      <c r="R116" s="1"/>
      <c r="S116" s="1"/>
    </row>
    <row r="117" spans="1:19" ht="18.75" hidden="1" customHeight="1">
      <c r="A117" s="2"/>
      <c r="B117" s="1" t="s">
        <v>327</v>
      </c>
      <c r="C117" s="1">
        <f>C$19*12</f>
        <v>8808</v>
      </c>
      <c r="D117" s="1">
        <f t="shared" ref="D117:L117" si="44">D$19*12</f>
        <v>5616</v>
      </c>
      <c r="E117" s="1">
        <f t="shared" si="44"/>
        <v>8808</v>
      </c>
      <c r="F117" s="1">
        <f t="shared" si="44"/>
        <v>0</v>
      </c>
      <c r="G117" s="1">
        <f t="shared" si="44"/>
        <v>0</v>
      </c>
      <c r="H117" s="1">
        <f t="shared" si="44"/>
        <v>0</v>
      </c>
      <c r="I117" s="1">
        <f t="shared" si="44"/>
        <v>0</v>
      </c>
      <c r="J117" s="1">
        <f t="shared" si="44"/>
        <v>0</v>
      </c>
      <c r="K117" s="1">
        <f t="shared" si="44"/>
        <v>0</v>
      </c>
      <c r="L117" s="1">
        <f t="shared" si="44"/>
        <v>0</v>
      </c>
      <c r="M117" s="1"/>
      <c r="N117" s="1"/>
      <c r="O117" s="1"/>
      <c r="P117" s="1"/>
      <c r="Q117" s="1"/>
      <c r="R117" s="1"/>
      <c r="S117" s="1"/>
    </row>
    <row r="118" spans="1:19" ht="18.75" hidden="1" customHeight="1">
      <c r="A118" s="2"/>
      <c r="B118" s="1" t="s">
        <v>328</v>
      </c>
      <c r="C118" s="1">
        <f t="shared" ref="C118:L123" si="45">C$117</f>
        <v>8808</v>
      </c>
      <c r="D118" s="1">
        <f t="shared" si="45"/>
        <v>5616</v>
      </c>
      <c r="E118" s="1">
        <f t="shared" si="45"/>
        <v>8808</v>
      </c>
      <c r="F118" s="1">
        <f t="shared" si="45"/>
        <v>0</v>
      </c>
      <c r="G118" s="1">
        <f t="shared" si="45"/>
        <v>0</v>
      </c>
      <c r="H118" s="1">
        <f t="shared" si="45"/>
        <v>0</v>
      </c>
      <c r="I118" s="1">
        <f t="shared" si="45"/>
        <v>0</v>
      </c>
      <c r="J118" s="1">
        <f t="shared" si="45"/>
        <v>0</v>
      </c>
      <c r="K118" s="1">
        <f t="shared" si="45"/>
        <v>0</v>
      </c>
      <c r="L118" s="1">
        <f t="shared" si="45"/>
        <v>0</v>
      </c>
      <c r="M118" s="1"/>
      <c r="N118" s="1"/>
      <c r="O118" s="1"/>
      <c r="P118" s="1"/>
      <c r="Q118" s="1"/>
      <c r="R118" s="1"/>
      <c r="S118" s="1"/>
    </row>
    <row r="119" spans="1:19" ht="18.75" hidden="1" customHeight="1">
      <c r="A119" s="2"/>
      <c r="B119" s="1" t="s">
        <v>329</v>
      </c>
      <c r="C119" s="1">
        <f t="shared" si="45"/>
        <v>8808</v>
      </c>
      <c r="D119" s="1">
        <f t="shared" si="45"/>
        <v>5616</v>
      </c>
      <c r="E119" s="1">
        <f t="shared" si="45"/>
        <v>8808</v>
      </c>
      <c r="F119" s="1">
        <f t="shared" si="45"/>
        <v>0</v>
      </c>
      <c r="G119" s="1">
        <f t="shared" si="45"/>
        <v>0</v>
      </c>
      <c r="H119" s="1">
        <f t="shared" si="45"/>
        <v>0</v>
      </c>
      <c r="I119" s="1">
        <f t="shared" si="45"/>
        <v>0</v>
      </c>
      <c r="J119" s="1">
        <f t="shared" si="45"/>
        <v>0</v>
      </c>
      <c r="K119" s="1">
        <f t="shared" si="45"/>
        <v>0</v>
      </c>
      <c r="L119" s="1">
        <f t="shared" si="45"/>
        <v>0</v>
      </c>
      <c r="M119" s="1"/>
      <c r="N119" s="1"/>
      <c r="O119" s="1"/>
      <c r="P119" s="1"/>
      <c r="Q119" s="1"/>
      <c r="R119" s="1"/>
      <c r="S119" s="1"/>
    </row>
    <row r="120" spans="1:19" ht="18.75" hidden="1" customHeight="1">
      <c r="A120" s="2"/>
      <c r="B120" s="1" t="s">
        <v>330</v>
      </c>
      <c r="C120" s="1">
        <f t="shared" si="45"/>
        <v>8808</v>
      </c>
      <c r="D120" s="1">
        <f t="shared" si="45"/>
        <v>5616</v>
      </c>
      <c r="E120" s="1">
        <f t="shared" si="45"/>
        <v>8808</v>
      </c>
      <c r="F120" s="1">
        <f t="shared" si="45"/>
        <v>0</v>
      </c>
      <c r="G120" s="1">
        <f t="shared" si="45"/>
        <v>0</v>
      </c>
      <c r="H120" s="1">
        <f t="shared" si="45"/>
        <v>0</v>
      </c>
      <c r="I120" s="1">
        <f t="shared" si="45"/>
        <v>0</v>
      </c>
      <c r="J120" s="1">
        <f t="shared" si="45"/>
        <v>0</v>
      </c>
      <c r="K120" s="1">
        <f t="shared" si="45"/>
        <v>0</v>
      </c>
      <c r="L120" s="1">
        <f t="shared" si="45"/>
        <v>0</v>
      </c>
      <c r="M120" s="1"/>
      <c r="N120" s="1"/>
      <c r="O120" s="1"/>
      <c r="P120" s="1"/>
      <c r="Q120" s="1"/>
      <c r="R120" s="1"/>
      <c r="S120" s="1"/>
    </row>
    <row r="121" spans="1:19" ht="18.75" hidden="1" customHeight="1">
      <c r="A121" s="2"/>
      <c r="B121" s="1" t="s">
        <v>331</v>
      </c>
      <c r="C121" s="1">
        <f t="shared" si="45"/>
        <v>8808</v>
      </c>
      <c r="D121" s="1">
        <f t="shared" si="45"/>
        <v>5616</v>
      </c>
      <c r="E121" s="1">
        <f t="shared" si="45"/>
        <v>8808</v>
      </c>
      <c r="F121" s="1">
        <f t="shared" si="45"/>
        <v>0</v>
      </c>
      <c r="G121" s="1">
        <f t="shared" si="45"/>
        <v>0</v>
      </c>
      <c r="H121" s="1">
        <f t="shared" si="45"/>
        <v>0</v>
      </c>
      <c r="I121" s="1">
        <f t="shared" si="45"/>
        <v>0</v>
      </c>
      <c r="J121" s="1">
        <f t="shared" si="45"/>
        <v>0</v>
      </c>
      <c r="K121" s="1">
        <f t="shared" si="45"/>
        <v>0</v>
      </c>
      <c r="L121" s="1">
        <f t="shared" si="45"/>
        <v>0</v>
      </c>
      <c r="M121" s="1"/>
      <c r="N121" s="1"/>
      <c r="O121" s="1"/>
      <c r="P121" s="1"/>
      <c r="Q121" s="1"/>
      <c r="R121" s="1"/>
      <c r="S121" s="1"/>
    </row>
    <row r="122" spans="1:19" ht="18.75" hidden="1" customHeight="1">
      <c r="A122" s="2"/>
      <c r="B122" s="1" t="s">
        <v>332</v>
      </c>
      <c r="C122" s="1">
        <f t="shared" si="45"/>
        <v>8808</v>
      </c>
      <c r="D122" s="1">
        <f t="shared" si="45"/>
        <v>5616</v>
      </c>
      <c r="E122" s="1">
        <f t="shared" si="45"/>
        <v>8808</v>
      </c>
      <c r="F122" s="1">
        <f t="shared" si="45"/>
        <v>0</v>
      </c>
      <c r="G122" s="1">
        <f t="shared" si="45"/>
        <v>0</v>
      </c>
      <c r="H122" s="1">
        <f t="shared" si="45"/>
        <v>0</v>
      </c>
      <c r="I122" s="1">
        <f t="shared" si="45"/>
        <v>0</v>
      </c>
      <c r="J122" s="1">
        <f t="shared" si="45"/>
        <v>0</v>
      </c>
      <c r="K122" s="1">
        <f t="shared" si="45"/>
        <v>0</v>
      </c>
      <c r="L122" s="1">
        <f t="shared" si="45"/>
        <v>0</v>
      </c>
      <c r="M122" s="1"/>
      <c r="N122" s="1"/>
      <c r="O122" s="1"/>
      <c r="P122" s="1"/>
      <c r="Q122" s="1"/>
      <c r="R122" s="1"/>
      <c r="S122" s="1"/>
    </row>
    <row r="123" spans="1:19" ht="18.75" hidden="1" customHeight="1">
      <c r="A123" s="2"/>
      <c r="B123" s="12" t="s">
        <v>333</v>
      </c>
      <c r="C123" s="12">
        <f t="shared" si="45"/>
        <v>8808</v>
      </c>
      <c r="D123" s="12">
        <f t="shared" si="45"/>
        <v>5616</v>
      </c>
      <c r="E123" s="12">
        <f t="shared" si="45"/>
        <v>8808</v>
      </c>
      <c r="F123" s="12">
        <f t="shared" si="45"/>
        <v>0</v>
      </c>
      <c r="G123" s="12">
        <f t="shared" si="45"/>
        <v>0</v>
      </c>
      <c r="H123" s="12">
        <f t="shared" si="45"/>
        <v>0</v>
      </c>
      <c r="I123" s="12">
        <f t="shared" si="45"/>
        <v>0</v>
      </c>
      <c r="J123" s="12">
        <f t="shared" si="45"/>
        <v>0</v>
      </c>
      <c r="K123" s="12">
        <f t="shared" si="45"/>
        <v>0</v>
      </c>
      <c r="L123" s="12">
        <f t="shared" si="45"/>
        <v>0</v>
      </c>
      <c r="M123" s="1"/>
      <c r="N123" s="1"/>
      <c r="O123" s="1"/>
      <c r="P123" s="1"/>
      <c r="Q123" s="1"/>
      <c r="R123" s="1"/>
      <c r="S123" s="1"/>
    </row>
    <row r="124" spans="1:19" ht="18.75" hidden="1" customHeight="1">
      <c r="A124" s="2"/>
      <c r="B124" s="1" t="s">
        <v>334</v>
      </c>
      <c r="C124" s="4">
        <f t="shared" ref="C124:L124" si="46">C$114</f>
        <v>5088</v>
      </c>
      <c r="D124" s="4">
        <f t="shared" si="46"/>
        <v>2544</v>
      </c>
      <c r="E124" s="4">
        <f t="shared" si="46"/>
        <v>5088</v>
      </c>
      <c r="F124" s="4">
        <f t="shared" si="46"/>
        <v>0</v>
      </c>
      <c r="G124" s="4">
        <f t="shared" si="46"/>
        <v>0</v>
      </c>
      <c r="H124" s="4">
        <f t="shared" si="46"/>
        <v>0</v>
      </c>
      <c r="I124" s="4">
        <f t="shared" si="46"/>
        <v>0</v>
      </c>
      <c r="J124" s="4">
        <f t="shared" si="46"/>
        <v>0</v>
      </c>
      <c r="K124" s="4">
        <f t="shared" si="46"/>
        <v>0</v>
      </c>
      <c r="L124" s="4">
        <f t="shared" si="46"/>
        <v>0</v>
      </c>
      <c r="M124" s="1"/>
      <c r="N124" s="1"/>
      <c r="O124" s="1"/>
      <c r="P124" s="1"/>
      <c r="Q124" s="1"/>
      <c r="R124" s="1"/>
      <c r="S124" s="1"/>
    </row>
    <row r="125" spans="1:19" ht="18.75" hidden="1" customHeight="1">
      <c r="A125" s="2"/>
      <c r="B125" s="1" t="s">
        <v>335</v>
      </c>
      <c r="C125" s="4">
        <f t="shared" ref="C125:L125" si="47">C$114+NPV($J$2,C115)</f>
        <v>9980.3076923076915</v>
      </c>
      <c r="D125" s="4">
        <f t="shared" si="47"/>
        <v>4990.1538461538457</v>
      </c>
      <c r="E125" s="4">
        <f t="shared" si="47"/>
        <v>9980.3076923076915</v>
      </c>
      <c r="F125" s="4">
        <f t="shared" si="47"/>
        <v>0</v>
      </c>
      <c r="G125" s="4">
        <f t="shared" si="47"/>
        <v>0</v>
      </c>
      <c r="H125" s="4">
        <f t="shared" si="47"/>
        <v>0</v>
      </c>
      <c r="I125" s="4">
        <f t="shared" si="47"/>
        <v>0</v>
      </c>
      <c r="J125" s="4">
        <f t="shared" si="47"/>
        <v>0</v>
      </c>
      <c r="K125" s="4">
        <f t="shared" si="47"/>
        <v>0</v>
      </c>
      <c r="L125" s="4">
        <f t="shared" si="47"/>
        <v>0</v>
      </c>
      <c r="M125" s="1"/>
      <c r="N125" s="1"/>
      <c r="O125" s="1"/>
      <c r="P125" s="1"/>
      <c r="Q125" s="1"/>
      <c r="R125" s="1"/>
      <c r="S125" s="1"/>
    </row>
    <row r="126" spans="1:19" ht="18.75" hidden="1" customHeight="1">
      <c r="A126" s="2"/>
      <c r="B126" s="1" t="s">
        <v>336</v>
      </c>
      <c r="C126" s="4">
        <f t="shared" ref="C126:L126" si="48">C$114+NPV($J$2,C115:C116)</f>
        <v>14684.449704142011</v>
      </c>
      <c r="D126" s="4">
        <f t="shared" si="48"/>
        <v>7342.2248520710054</v>
      </c>
      <c r="E126" s="4">
        <f t="shared" si="48"/>
        <v>14684.449704142011</v>
      </c>
      <c r="F126" s="4">
        <f t="shared" si="48"/>
        <v>0</v>
      </c>
      <c r="G126" s="4">
        <f t="shared" si="48"/>
        <v>0</v>
      </c>
      <c r="H126" s="4">
        <f t="shared" si="48"/>
        <v>0</v>
      </c>
      <c r="I126" s="4">
        <f t="shared" si="48"/>
        <v>0</v>
      </c>
      <c r="J126" s="4">
        <f t="shared" si="48"/>
        <v>0</v>
      </c>
      <c r="K126" s="4">
        <f t="shared" si="48"/>
        <v>0</v>
      </c>
      <c r="L126" s="4">
        <f t="shared" si="48"/>
        <v>0</v>
      </c>
      <c r="M126" s="1"/>
      <c r="N126" s="1"/>
      <c r="O126" s="1"/>
      <c r="P126" s="1"/>
      <c r="Q126" s="1"/>
      <c r="R126" s="1"/>
      <c r="S126" s="1"/>
    </row>
    <row r="127" spans="1:19" ht="18.75" hidden="1" customHeight="1">
      <c r="A127" s="2"/>
      <c r="B127" s="1" t="s">
        <v>337</v>
      </c>
      <c r="C127" s="4">
        <f t="shared" ref="C127:L127" si="49">C$114+NPV($J$2,C115:C117)</f>
        <v>22514.729631315426</v>
      </c>
      <c r="D127" s="4">
        <f t="shared" si="49"/>
        <v>12334.828402366862</v>
      </c>
      <c r="E127" s="4">
        <f t="shared" si="49"/>
        <v>22514.729631315426</v>
      </c>
      <c r="F127" s="4">
        <f t="shared" si="49"/>
        <v>0</v>
      </c>
      <c r="G127" s="4">
        <f t="shared" si="49"/>
        <v>0</v>
      </c>
      <c r="H127" s="4">
        <f t="shared" si="49"/>
        <v>0</v>
      </c>
      <c r="I127" s="4">
        <f t="shared" si="49"/>
        <v>0</v>
      </c>
      <c r="J127" s="4">
        <f t="shared" si="49"/>
        <v>0</v>
      </c>
      <c r="K127" s="4">
        <f t="shared" si="49"/>
        <v>0</v>
      </c>
      <c r="L127" s="4">
        <f t="shared" si="49"/>
        <v>0</v>
      </c>
      <c r="M127" s="1"/>
      <c r="N127" s="1"/>
      <c r="O127" s="1"/>
      <c r="P127" s="1"/>
      <c r="Q127" s="1"/>
      <c r="R127" s="1"/>
      <c r="S127" s="1"/>
    </row>
    <row r="128" spans="1:19" ht="18.75" hidden="1" customHeight="1">
      <c r="A128" s="2"/>
      <c r="B128" s="1" t="s">
        <v>338</v>
      </c>
      <c r="C128" s="4">
        <f t="shared" ref="C128:L128" si="50">C$114+NPV($J$2,C115:C118)</f>
        <v>30043.84494590525</v>
      </c>
      <c r="D128" s="4">
        <f t="shared" si="50"/>
        <v>17135.408739189799</v>
      </c>
      <c r="E128" s="4">
        <f t="shared" si="50"/>
        <v>30043.84494590525</v>
      </c>
      <c r="F128" s="4">
        <f t="shared" si="50"/>
        <v>0</v>
      </c>
      <c r="G128" s="4">
        <f t="shared" si="50"/>
        <v>0</v>
      </c>
      <c r="H128" s="4">
        <f t="shared" si="50"/>
        <v>0</v>
      </c>
      <c r="I128" s="4">
        <f t="shared" si="50"/>
        <v>0</v>
      </c>
      <c r="J128" s="4">
        <f t="shared" si="50"/>
        <v>0</v>
      </c>
      <c r="K128" s="4">
        <f t="shared" si="50"/>
        <v>0</v>
      </c>
      <c r="L128" s="4">
        <f t="shared" si="50"/>
        <v>0</v>
      </c>
      <c r="M128" s="1"/>
      <c r="N128" s="1"/>
      <c r="O128" s="1"/>
      <c r="P128" s="1"/>
      <c r="Q128" s="1"/>
      <c r="R128" s="1"/>
      <c r="S128" s="1"/>
    </row>
    <row r="129" spans="1:19" ht="18.75" hidden="1" customHeight="1">
      <c r="A129" s="2"/>
      <c r="B129" s="1" t="s">
        <v>339</v>
      </c>
      <c r="C129" s="4">
        <f t="shared" ref="C129:L129" si="51">C$114+NPV($J$2,C115:C119)</f>
        <v>37283.378902241617</v>
      </c>
      <c r="D129" s="4">
        <f t="shared" si="51"/>
        <v>21751.351370750319</v>
      </c>
      <c r="E129" s="4">
        <f t="shared" si="51"/>
        <v>37283.378902241617</v>
      </c>
      <c r="F129" s="4">
        <f t="shared" si="51"/>
        <v>0</v>
      </c>
      <c r="G129" s="4">
        <f t="shared" si="51"/>
        <v>0</v>
      </c>
      <c r="H129" s="4">
        <f t="shared" si="51"/>
        <v>0</v>
      </c>
      <c r="I129" s="4">
        <f t="shared" si="51"/>
        <v>0</v>
      </c>
      <c r="J129" s="4">
        <f t="shared" si="51"/>
        <v>0</v>
      </c>
      <c r="K129" s="4">
        <f t="shared" si="51"/>
        <v>0</v>
      </c>
      <c r="L129" s="4">
        <f t="shared" si="51"/>
        <v>0</v>
      </c>
      <c r="M129" s="1"/>
      <c r="N129" s="1"/>
      <c r="O129" s="1"/>
      <c r="P129" s="1"/>
      <c r="Q129" s="1"/>
      <c r="R129" s="1"/>
      <c r="S129" s="1"/>
    </row>
    <row r="130" spans="1:19" ht="18.75" hidden="1" customHeight="1">
      <c r="A130" s="2"/>
      <c r="B130" s="1" t="s">
        <v>340</v>
      </c>
      <c r="C130" s="4">
        <f t="shared" ref="C130:L130" si="52">C$114+NPV($J$2,C115:C120)</f>
        <v>44244.469244872736</v>
      </c>
      <c r="D130" s="4">
        <f t="shared" si="52"/>
        <v>26189.757747250816</v>
      </c>
      <c r="E130" s="4">
        <f t="shared" si="52"/>
        <v>44244.469244872736</v>
      </c>
      <c r="F130" s="4">
        <f t="shared" si="52"/>
        <v>0</v>
      </c>
      <c r="G130" s="4">
        <f t="shared" si="52"/>
        <v>0</v>
      </c>
      <c r="H130" s="4">
        <f t="shared" si="52"/>
        <v>0</v>
      </c>
      <c r="I130" s="4">
        <f t="shared" si="52"/>
        <v>0</v>
      </c>
      <c r="J130" s="4">
        <f t="shared" si="52"/>
        <v>0</v>
      </c>
      <c r="K130" s="4">
        <f t="shared" si="52"/>
        <v>0</v>
      </c>
      <c r="L130" s="4">
        <f t="shared" si="52"/>
        <v>0</v>
      </c>
      <c r="M130" s="1"/>
      <c r="N130" s="1"/>
      <c r="O130" s="1"/>
      <c r="P130" s="1"/>
      <c r="Q130" s="1"/>
      <c r="R130" s="1"/>
      <c r="S130" s="1"/>
    </row>
    <row r="131" spans="1:19" ht="18.75" hidden="1" customHeight="1">
      <c r="A131" s="2"/>
      <c r="B131" s="1" t="s">
        <v>341</v>
      </c>
      <c r="C131" s="4">
        <f t="shared" ref="C131:L131" si="53">C$114+NPV($J$2,C115:C121)</f>
        <v>50937.825343556513</v>
      </c>
      <c r="D131" s="4">
        <f t="shared" si="53"/>
        <v>30457.456186193602</v>
      </c>
      <c r="E131" s="4">
        <f t="shared" si="53"/>
        <v>50937.825343556513</v>
      </c>
      <c r="F131" s="4">
        <f t="shared" si="53"/>
        <v>0</v>
      </c>
      <c r="G131" s="4">
        <f t="shared" si="53"/>
        <v>0</v>
      </c>
      <c r="H131" s="4">
        <f t="shared" si="53"/>
        <v>0</v>
      </c>
      <c r="I131" s="4">
        <f t="shared" si="53"/>
        <v>0</v>
      </c>
      <c r="J131" s="4">
        <f t="shared" si="53"/>
        <v>0</v>
      </c>
      <c r="K131" s="4">
        <f t="shared" si="53"/>
        <v>0</v>
      </c>
      <c r="L131" s="4">
        <f t="shared" si="53"/>
        <v>0</v>
      </c>
      <c r="M131" s="1"/>
      <c r="N131" s="1"/>
      <c r="O131" s="1"/>
      <c r="P131" s="1"/>
      <c r="Q131" s="1"/>
      <c r="R131" s="1"/>
      <c r="S131" s="1"/>
    </row>
    <row r="132" spans="1:19" ht="18.75" hidden="1" customHeight="1">
      <c r="A132" s="2"/>
      <c r="B132" s="1" t="s">
        <v>342</v>
      </c>
      <c r="C132" s="4">
        <f t="shared" ref="C132:L132" si="54">C$114+NPV($J$2,C115:C122)</f>
        <v>57373.744669213986</v>
      </c>
      <c r="D132" s="4">
        <f t="shared" si="54"/>
        <v>34561.012377484745</v>
      </c>
      <c r="E132" s="4">
        <f t="shared" si="54"/>
        <v>57373.744669213986</v>
      </c>
      <c r="F132" s="4">
        <f t="shared" si="54"/>
        <v>0</v>
      </c>
      <c r="G132" s="4">
        <f t="shared" si="54"/>
        <v>0</v>
      </c>
      <c r="H132" s="4">
        <f t="shared" si="54"/>
        <v>0</v>
      </c>
      <c r="I132" s="4">
        <f t="shared" si="54"/>
        <v>0</v>
      </c>
      <c r="J132" s="4">
        <f t="shared" si="54"/>
        <v>0</v>
      </c>
      <c r="K132" s="4">
        <f t="shared" si="54"/>
        <v>0</v>
      </c>
      <c r="L132" s="4">
        <f t="shared" si="54"/>
        <v>0</v>
      </c>
      <c r="M132" s="1"/>
      <c r="N132" s="1"/>
      <c r="O132" s="1"/>
      <c r="P132" s="1"/>
      <c r="Q132" s="1"/>
      <c r="R132" s="1"/>
      <c r="S132" s="1"/>
    </row>
    <row r="133" spans="1:19" ht="18.75" hidden="1" customHeight="1">
      <c r="A133" s="2"/>
      <c r="B133" s="12" t="s">
        <v>343</v>
      </c>
      <c r="C133" s="43">
        <f t="shared" ref="C133:L133" si="55">C$114+NPV($J$2,C115:C123)</f>
        <v>63562.128636192327</v>
      </c>
      <c r="D133" s="43">
        <f t="shared" si="55"/>
        <v>38506.739484495462</v>
      </c>
      <c r="E133" s="43">
        <f t="shared" si="55"/>
        <v>63562.128636192327</v>
      </c>
      <c r="F133" s="43">
        <f t="shared" si="55"/>
        <v>0</v>
      </c>
      <c r="G133" s="43">
        <f t="shared" si="55"/>
        <v>0</v>
      </c>
      <c r="H133" s="43">
        <f t="shared" si="55"/>
        <v>0</v>
      </c>
      <c r="I133" s="43">
        <f t="shared" si="55"/>
        <v>0</v>
      </c>
      <c r="J133" s="43">
        <f t="shared" si="55"/>
        <v>0</v>
      </c>
      <c r="K133" s="43">
        <f t="shared" si="55"/>
        <v>0</v>
      </c>
      <c r="L133" s="43">
        <f t="shared" si="55"/>
        <v>0</v>
      </c>
      <c r="M133" s="1"/>
      <c r="N133" s="1"/>
      <c r="O133" s="1"/>
      <c r="P133" s="1"/>
      <c r="Q133" s="1"/>
      <c r="R133" s="1"/>
      <c r="S133" s="1"/>
    </row>
    <row r="134" spans="1:19" ht="18.75" hidden="1" customHeight="1">
      <c r="A134" s="2"/>
      <c r="B134" s="1" t="s">
        <v>344</v>
      </c>
      <c r="C134" s="1">
        <f t="shared" ref="C134:L134" si="56">C20*12</f>
        <v>21600</v>
      </c>
      <c r="D134" s="1">
        <f t="shared" si="56"/>
        <v>21600</v>
      </c>
      <c r="E134" s="1">
        <f t="shared" si="56"/>
        <v>29880</v>
      </c>
      <c r="F134" s="1">
        <f t="shared" si="56"/>
        <v>0</v>
      </c>
      <c r="G134" s="1">
        <f t="shared" si="56"/>
        <v>0</v>
      </c>
      <c r="H134" s="1">
        <f t="shared" si="56"/>
        <v>0</v>
      </c>
      <c r="I134" s="1">
        <f t="shared" si="56"/>
        <v>0</v>
      </c>
      <c r="J134" s="1">
        <f t="shared" si="56"/>
        <v>0</v>
      </c>
      <c r="K134" s="1">
        <f t="shared" si="56"/>
        <v>0</v>
      </c>
      <c r="L134" s="1">
        <f t="shared" si="56"/>
        <v>0</v>
      </c>
      <c r="M134" s="1"/>
      <c r="N134" s="1"/>
      <c r="O134" s="1"/>
      <c r="P134" s="1"/>
      <c r="Q134" s="1"/>
      <c r="R134" s="1"/>
      <c r="S134" s="1"/>
    </row>
    <row r="135" spans="1:19" ht="18.75" hidden="1" customHeight="1">
      <c r="A135" s="2"/>
      <c r="B135" s="1" t="s">
        <v>345</v>
      </c>
      <c r="C135" s="1">
        <f t="shared" ref="C135:L144" si="57">C$134</f>
        <v>21600</v>
      </c>
      <c r="D135" s="1">
        <f t="shared" si="57"/>
        <v>21600</v>
      </c>
      <c r="E135" s="1">
        <f t="shared" si="57"/>
        <v>29880</v>
      </c>
      <c r="F135" s="1">
        <f t="shared" si="57"/>
        <v>0</v>
      </c>
      <c r="G135" s="1">
        <f t="shared" si="57"/>
        <v>0</v>
      </c>
      <c r="H135" s="1">
        <f t="shared" si="57"/>
        <v>0</v>
      </c>
      <c r="I135" s="1">
        <f t="shared" si="57"/>
        <v>0</v>
      </c>
      <c r="J135" s="1">
        <f t="shared" si="57"/>
        <v>0</v>
      </c>
      <c r="K135" s="1">
        <f t="shared" si="57"/>
        <v>0</v>
      </c>
      <c r="L135" s="1">
        <f t="shared" si="57"/>
        <v>0</v>
      </c>
      <c r="M135" s="1"/>
      <c r="N135" s="1"/>
      <c r="O135" s="1"/>
      <c r="P135" s="1"/>
      <c r="Q135" s="1"/>
      <c r="R135" s="1"/>
      <c r="S135" s="1"/>
    </row>
    <row r="136" spans="1:19" ht="18.75" hidden="1" customHeight="1">
      <c r="A136" s="2"/>
      <c r="B136" s="1" t="s">
        <v>346</v>
      </c>
      <c r="C136" s="1">
        <f t="shared" si="57"/>
        <v>21600</v>
      </c>
      <c r="D136" s="1">
        <f t="shared" si="57"/>
        <v>21600</v>
      </c>
      <c r="E136" s="1">
        <f t="shared" si="57"/>
        <v>29880</v>
      </c>
      <c r="F136" s="1">
        <f t="shared" si="57"/>
        <v>0</v>
      </c>
      <c r="G136" s="1">
        <f t="shared" si="57"/>
        <v>0</v>
      </c>
      <c r="H136" s="1">
        <f t="shared" si="57"/>
        <v>0</v>
      </c>
      <c r="I136" s="1">
        <f t="shared" si="57"/>
        <v>0</v>
      </c>
      <c r="J136" s="1">
        <f t="shared" si="57"/>
        <v>0</v>
      </c>
      <c r="K136" s="1">
        <f t="shared" si="57"/>
        <v>0</v>
      </c>
      <c r="L136" s="1">
        <f t="shared" si="57"/>
        <v>0</v>
      </c>
      <c r="M136" s="1"/>
      <c r="N136" s="1"/>
      <c r="O136" s="1"/>
      <c r="P136" s="1"/>
      <c r="Q136" s="1"/>
      <c r="R136" s="1"/>
      <c r="S136" s="1"/>
    </row>
    <row r="137" spans="1:19" ht="18.75" hidden="1" customHeight="1">
      <c r="A137" s="2"/>
      <c r="B137" s="1" t="s">
        <v>347</v>
      </c>
      <c r="C137" s="1">
        <f t="shared" si="57"/>
        <v>21600</v>
      </c>
      <c r="D137" s="1">
        <f t="shared" si="57"/>
        <v>21600</v>
      </c>
      <c r="E137" s="1">
        <f t="shared" si="57"/>
        <v>29880</v>
      </c>
      <c r="F137" s="1">
        <f t="shared" si="57"/>
        <v>0</v>
      </c>
      <c r="G137" s="1">
        <f t="shared" si="57"/>
        <v>0</v>
      </c>
      <c r="H137" s="1">
        <f t="shared" si="57"/>
        <v>0</v>
      </c>
      <c r="I137" s="1">
        <f t="shared" si="57"/>
        <v>0</v>
      </c>
      <c r="J137" s="1">
        <f t="shared" si="57"/>
        <v>0</v>
      </c>
      <c r="K137" s="1">
        <f t="shared" si="57"/>
        <v>0</v>
      </c>
      <c r="L137" s="1">
        <f t="shared" si="57"/>
        <v>0</v>
      </c>
      <c r="M137" s="1"/>
      <c r="N137" s="1"/>
      <c r="O137" s="1"/>
      <c r="P137" s="1"/>
      <c r="Q137" s="1"/>
      <c r="R137" s="1"/>
      <c r="S137" s="1"/>
    </row>
    <row r="138" spans="1:19" ht="18.75" hidden="1" customHeight="1">
      <c r="A138" s="2"/>
      <c r="B138" s="1" t="s">
        <v>348</v>
      </c>
      <c r="C138" s="1">
        <f t="shared" si="57"/>
        <v>21600</v>
      </c>
      <c r="D138" s="1">
        <f t="shared" si="57"/>
        <v>21600</v>
      </c>
      <c r="E138" s="1">
        <f t="shared" si="57"/>
        <v>29880</v>
      </c>
      <c r="F138" s="1">
        <f t="shared" si="57"/>
        <v>0</v>
      </c>
      <c r="G138" s="1">
        <f t="shared" si="57"/>
        <v>0</v>
      </c>
      <c r="H138" s="1">
        <f t="shared" si="57"/>
        <v>0</v>
      </c>
      <c r="I138" s="1">
        <f t="shared" si="57"/>
        <v>0</v>
      </c>
      <c r="J138" s="1">
        <f t="shared" si="57"/>
        <v>0</v>
      </c>
      <c r="K138" s="1">
        <f t="shared" si="57"/>
        <v>0</v>
      </c>
      <c r="L138" s="1">
        <f t="shared" si="57"/>
        <v>0</v>
      </c>
      <c r="M138" s="1"/>
      <c r="N138" s="1"/>
      <c r="O138" s="1"/>
      <c r="P138" s="1"/>
      <c r="Q138" s="1"/>
      <c r="R138" s="1"/>
      <c r="S138" s="1"/>
    </row>
    <row r="139" spans="1:19" ht="18.75" hidden="1" customHeight="1">
      <c r="A139" s="2"/>
      <c r="B139" s="1" t="s">
        <v>349</v>
      </c>
      <c r="C139" s="1">
        <f t="shared" si="57"/>
        <v>21600</v>
      </c>
      <c r="D139" s="1">
        <f t="shared" si="57"/>
        <v>21600</v>
      </c>
      <c r="E139" s="1">
        <f t="shared" si="57"/>
        <v>29880</v>
      </c>
      <c r="F139" s="1">
        <f t="shared" si="57"/>
        <v>0</v>
      </c>
      <c r="G139" s="1">
        <f t="shared" si="57"/>
        <v>0</v>
      </c>
      <c r="H139" s="1">
        <f t="shared" si="57"/>
        <v>0</v>
      </c>
      <c r="I139" s="1">
        <f t="shared" si="57"/>
        <v>0</v>
      </c>
      <c r="J139" s="1">
        <f t="shared" si="57"/>
        <v>0</v>
      </c>
      <c r="K139" s="1">
        <f t="shared" si="57"/>
        <v>0</v>
      </c>
      <c r="L139" s="1">
        <f t="shared" si="57"/>
        <v>0</v>
      </c>
      <c r="M139" s="1"/>
      <c r="N139" s="1"/>
      <c r="O139" s="1"/>
      <c r="P139" s="1"/>
      <c r="Q139" s="1"/>
      <c r="R139" s="1"/>
      <c r="S139" s="1"/>
    </row>
    <row r="140" spans="1:19" ht="18.75" hidden="1" customHeight="1">
      <c r="A140" s="2"/>
      <c r="B140" s="1" t="s">
        <v>350</v>
      </c>
      <c r="C140" s="1">
        <f t="shared" si="57"/>
        <v>21600</v>
      </c>
      <c r="D140" s="1">
        <f t="shared" si="57"/>
        <v>21600</v>
      </c>
      <c r="E140" s="1">
        <f t="shared" si="57"/>
        <v>29880</v>
      </c>
      <c r="F140" s="1">
        <f t="shared" si="57"/>
        <v>0</v>
      </c>
      <c r="G140" s="1">
        <f t="shared" si="57"/>
        <v>0</v>
      </c>
      <c r="H140" s="1">
        <f t="shared" si="57"/>
        <v>0</v>
      </c>
      <c r="I140" s="1">
        <f t="shared" si="57"/>
        <v>0</v>
      </c>
      <c r="J140" s="1">
        <f t="shared" si="57"/>
        <v>0</v>
      </c>
      <c r="K140" s="1">
        <f t="shared" si="57"/>
        <v>0</v>
      </c>
      <c r="L140" s="1">
        <f t="shared" si="57"/>
        <v>0</v>
      </c>
      <c r="M140" s="1"/>
      <c r="N140" s="1"/>
      <c r="O140" s="1"/>
      <c r="P140" s="1"/>
      <c r="Q140" s="1"/>
      <c r="R140" s="1"/>
      <c r="S140" s="1"/>
    </row>
    <row r="141" spans="1:19" ht="18.75" hidden="1" customHeight="1">
      <c r="A141" s="2"/>
      <c r="B141" s="1" t="s">
        <v>351</v>
      </c>
      <c r="C141" s="1">
        <f t="shared" si="57"/>
        <v>21600</v>
      </c>
      <c r="D141" s="1">
        <f t="shared" si="57"/>
        <v>21600</v>
      </c>
      <c r="E141" s="1">
        <f t="shared" si="57"/>
        <v>29880</v>
      </c>
      <c r="F141" s="1">
        <f t="shared" si="57"/>
        <v>0</v>
      </c>
      <c r="G141" s="1">
        <f t="shared" si="57"/>
        <v>0</v>
      </c>
      <c r="H141" s="1">
        <f t="shared" si="57"/>
        <v>0</v>
      </c>
      <c r="I141" s="1">
        <f t="shared" si="57"/>
        <v>0</v>
      </c>
      <c r="J141" s="1">
        <f t="shared" si="57"/>
        <v>0</v>
      </c>
      <c r="K141" s="1">
        <f t="shared" si="57"/>
        <v>0</v>
      </c>
      <c r="L141" s="1">
        <f t="shared" si="57"/>
        <v>0</v>
      </c>
      <c r="M141" s="1"/>
      <c r="N141" s="1"/>
      <c r="O141" s="1"/>
      <c r="P141" s="1"/>
      <c r="Q141" s="1"/>
      <c r="R141" s="1"/>
      <c r="S141" s="1"/>
    </row>
    <row r="142" spans="1:19" ht="18.75" hidden="1" customHeight="1">
      <c r="A142" s="2"/>
      <c r="B142" s="1" t="s">
        <v>352</v>
      </c>
      <c r="C142" s="1">
        <f t="shared" si="57"/>
        <v>21600</v>
      </c>
      <c r="D142" s="1">
        <f t="shared" si="57"/>
        <v>21600</v>
      </c>
      <c r="E142" s="1">
        <f t="shared" si="57"/>
        <v>29880</v>
      </c>
      <c r="F142" s="1">
        <f t="shared" si="57"/>
        <v>0</v>
      </c>
      <c r="G142" s="1">
        <f t="shared" si="57"/>
        <v>0</v>
      </c>
      <c r="H142" s="1">
        <f t="shared" si="57"/>
        <v>0</v>
      </c>
      <c r="I142" s="1">
        <f t="shared" si="57"/>
        <v>0</v>
      </c>
      <c r="J142" s="1">
        <f t="shared" si="57"/>
        <v>0</v>
      </c>
      <c r="K142" s="1">
        <f t="shared" si="57"/>
        <v>0</v>
      </c>
      <c r="L142" s="1">
        <f t="shared" si="57"/>
        <v>0</v>
      </c>
      <c r="M142" s="1"/>
      <c r="N142" s="1"/>
      <c r="O142" s="1"/>
      <c r="P142" s="1"/>
      <c r="Q142" s="1"/>
      <c r="R142" s="1"/>
      <c r="S142" s="1"/>
    </row>
    <row r="143" spans="1:19" ht="18.75" hidden="1" customHeight="1">
      <c r="A143" s="2"/>
      <c r="B143" s="12" t="s">
        <v>353</v>
      </c>
      <c r="C143" s="12">
        <f t="shared" si="57"/>
        <v>21600</v>
      </c>
      <c r="D143" s="12">
        <f t="shared" si="57"/>
        <v>21600</v>
      </c>
      <c r="E143" s="12">
        <f t="shared" si="57"/>
        <v>29880</v>
      </c>
      <c r="F143" s="12">
        <f t="shared" si="57"/>
        <v>0</v>
      </c>
      <c r="G143" s="12">
        <f t="shared" si="57"/>
        <v>0</v>
      </c>
      <c r="H143" s="12">
        <f t="shared" si="57"/>
        <v>0</v>
      </c>
      <c r="I143" s="12">
        <f t="shared" si="57"/>
        <v>0</v>
      </c>
      <c r="J143" s="12">
        <f t="shared" si="57"/>
        <v>0</v>
      </c>
      <c r="K143" s="12">
        <f t="shared" si="57"/>
        <v>0</v>
      </c>
      <c r="L143" s="12">
        <f t="shared" si="57"/>
        <v>0</v>
      </c>
      <c r="M143" s="1"/>
      <c r="N143" s="1"/>
      <c r="O143" s="1"/>
      <c r="P143" s="1"/>
      <c r="Q143" s="1"/>
      <c r="R143" s="1"/>
      <c r="S143" s="1"/>
    </row>
    <row r="144" spans="1:19" ht="18.75" hidden="1" customHeight="1">
      <c r="A144" s="2"/>
      <c r="B144" s="1" t="s">
        <v>354</v>
      </c>
      <c r="C144" s="4">
        <f t="shared" si="57"/>
        <v>21600</v>
      </c>
      <c r="D144" s="4">
        <f t="shared" si="57"/>
        <v>21600</v>
      </c>
      <c r="E144" s="4">
        <f t="shared" si="57"/>
        <v>29880</v>
      </c>
      <c r="F144" s="4">
        <f t="shared" si="57"/>
        <v>0</v>
      </c>
      <c r="G144" s="4">
        <f t="shared" si="57"/>
        <v>0</v>
      </c>
      <c r="H144" s="4">
        <f t="shared" si="57"/>
        <v>0</v>
      </c>
      <c r="I144" s="4">
        <f t="shared" si="57"/>
        <v>0</v>
      </c>
      <c r="J144" s="4">
        <f t="shared" si="57"/>
        <v>0</v>
      </c>
      <c r="K144" s="4">
        <f t="shared" si="57"/>
        <v>0</v>
      </c>
      <c r="L144" s="4">
        <f t="shared" si="57"/>
        <v>0</v>
      </c>
      <c r="M144" s="1"/>
      <c r="N144" s="1"/>
      <c r="O144" s="1"/>
      <c r="P144" s="1"/>
      <c r="Q144" s="1"/>
      <c r="R144" s="1"/>
      <c r="S144" s="1"/>
    </row>
    <row r="145" spans="1:19" ht="18.75" hidden="1" customHeight="1">
      <c r="A145" s="2"/>
      <c r="B145" s="1" t="s">
        <v>355</v>
      </c>
      <c r="C145" s="4">
        <f t="shared" ref="C145:L145" si="58">C$134+NPV($J$2,C135)</f>
        <v>42369.230769230766</v>
      </c>
      <c r="D145" s="4">
        <f t="shared" si="58"/>
        <v>42369.230769230766</v>
      </c>
      <c r="E145" s="4">
        <f t="shared" si="58"/>
        <v>58610.769230769234</v>
      </c>
      <c r="F145" s="4">
        <f t="shared" si="58"/>
        <v>0</v>
      </c>
      <c r="G145" s="4">
        <f t="shared" si="58"/>
        <v>0</v>
      </c>
      <c r="H145" s="4">
        <f t="shared" si="58"/>
        <v>0</v>
      </c>
      <c r="I145" s="4">
        <f t="shared" si="58"/>
        <v>0</v>
      </c>
      <c r="J145" s="4">
        <f t="shared" si="58"/>
        <v>0</v>
      </c>
      <c r="K145" s="4">
        <f t="shared" si="58"/>
        <v>0</v>
      </c>
      <c r="L145" s="4">
        <f t="shared" si="58"/>
        <v>0</v>
      </c>
      <c r="M145" s="1"/>
      <c r="N145" s="1"/>
      <c r="O145" s="1"/>
      <c r="P145" s="1"/>
      <c r="Q145" s="1"/>
      <c r="R145" s="1"/>
      <c r="S145" s="1"/>
    </row>
    <row r="146" spans="1:19" ht="18.75" hidden="1" customHeight="1">
      <c r="A146" s="2"/>
      <c r="B146" s="1" t="s">
        <v>356</v>
      </c>
      <c r="C146" s="4">
        <f t="shared" ref="C146:L146" si="59">C$134+NPV($J$2,C135:C136)</f>
        <v>62339.6449704142</v>
      </c>
      <c r="D146" s="4">
        <f t="shared" si="59"/>
        <v>62339.6449704142</v>
      </c>
      <c r="E146" s="4">
        <f t="shared" si="59"/>
        <v>86236.508875739644</v>
      </c>
      <c r="F146" s="4">
        <f t="shared" si="59"/>
        <v>0</v>
      </c>
      <c r="G146" s="4">
        <f t="shared" si="59"/>
        <v>0</v>
      </c>
      <c r="H146" s="4">
        <f t="shared" si="59"/>
        <v>0</v>
      </c>
      <c r="I146" s="4">
        <f t="shared" si="59"/>
        <v>0</v>
      </c>
      <c r="J146" s="4">
        <f t="shared" si="59"/>
        <v>0</v>
      </c>
      <c r="K146" s="4">
        <f t="shared" si="59"/>
        <v>0</v>
      </c>
      <c r="L146" s="4">
        <f t="shared" si="59"/>
        <v>0</v>
      </c>
      <c r="M146" s="1"/>
      <c r="N146" s="1"/>
      <c r="O146" s="1"/>
      <c r="P146" s="1"/>
      <c r="Q146" s="1"/>
      <c r="R146" s="1"/>
      <c r="S146" s="1"/>
    </row>
    <row r="147" spans="1:19" ht="18.75" hidden="1" customHeight="1">
      <c r="A147" s="2"/>
      <c r="B147" s="1" t="s">
        <v>357</v>
      </c>
      <c r="C147" s="4">
        <f t="shared" ref="C147:L147" si="60">C$134+NPV($J$2,C135:C137)</f>
        <v>81541.966317705956</v>
      </c>
      <c r="D147" s="4">
        <f t="shared" si="60"/>
        <v>81541.966317705956</v>
      </c>
      <c r="E147" s="4">
        <f t="shared" si="60"/>
        <v>112799.72007282657</v>
      </c>
      <c r="F147" s="4">
        <f t="shared" si="60"/>
        <v>0</v>
      </c>
      <c r="G147" s="4">
        <f t="shared" si="60"/>
        <v>0</v>
      </c>
      <c r="H147" s="4">
        <f t="shared" si="60"/>
        <v>0</v>
      </c>
      <c r="I147" s="4">
        <f t="shared" si="60"/>
        <v>0</v>
      </c>
      <c r="J147" s="4">
        <f t="shared" si="60"/>
        <v>0</v>
      </c>
      <c r="K147" s="4">
        <f t="shared" si="60"/>
        <v>0</v>
      </c>
      <c r="L147" s="4">
        <f t="shared" si="60"/>
        <v>0</v>
      </c>
      <c r="M147" s="1"/>
      <c r="N147" s="1"/>
      <c r="O147" s="1"/>
      <c r="P147" s="1"/>
      <c r="Q147" s="1"/>
      <c r="R147" s="1"/>
      <c r="S147" s="1"/>
    </row>
    <row r="148" spans="1:19" ht="18.75" hidden="1" customHeight="1">
      <c r="A148" s="2"/>
      <c r="B148" s="1" t="s">
        <v>358</v>
      </c>
      <c r="C148" s="4">
        <f t="shared" ref="C148:L148" si="61">C$134+NPV($J$2,C135:C138)</f>
        <v>100005.73684394803</v>
      </c>
      <c r="D148" s="4">
        <f t="shared" si="61"/>
        <v>100005.73684394803</v>
      </c>
      <c r="E148" s="4">
        <f t="shared" si="61"/>
        <v>138341.26930079478</v>
      </c>
      <c r="F148" s="4">
        <f t="shared" si="61"/>
        <v>0</v>
      </c>
      <c r="G148" s="4">
        <f t="shared" si="61"/>
        <v>0</v>
      </c>
      <c r="H148" s="4">
        <f t="shared" si="61"/>
        <v>0</v>
      </c>
      <c r="I148" s="4">
        <f t="shared" si="61"/>
        <v>0</v>
      </c>
      <c r="J148" s="4">
        <f t="shared" si="61"/>
        <v>0</v>
      </c>
      <c r="K148" s="4">
        <f t="shared" si="61"/>
        <v>0</v>
      </c>
      <c r="L148" s="4">
        <f t="shared" si="61"/>
        <v>0</v>
      </c>
      <c r="M148" s="1"/>
      <c r="N148" s="1"/>
      <c r="O148" s="1"/>
      <c r="P148" s="1"/>
      <c r="Q148" s="1"/>
      <c r="R148" s="1"/>
      <c r="S148" s="1"/>
    </row>
    <row r="149" spans="1:19" ht="18.75" hidden="1" customHeight="1">
      <c r="A149" s="2"/>
      <c r="B149" s="1" t="s">
        <v>359</v>
      </c>
      <c r="C149" s="4">
        <f t="shared" ref="C149:L149" si="62">C$134+NPV($J$2,C135:C139)</f>
        <v>117759.36234995002</v>
      </c>
      <c r="D149" s="4">
        <f t="shared" si="62"/>
        <v>117759.36234995002</v>
      </c>
      <c r="E149" s="4">
        <f t="shared" si="62"/>
        <v>162900.45125076422</v>
      </c>
      <c r="F149" s="4">
        <f t="shared" si="62"/>
        <v>0</v>
      </c>
      <c r="G149" s="4">
        <f t="shared" si="62"/>
        <v>0</v>
      </c>
      <c r="H149" s="4">
        <f t="shared" si="62"/>
        <v>0</v>
      </c>
      <c r="I149" s="4">
        <f t="shared" si="62"/>
        <v>0</v>
      </c>
      <c r="J149" s="4">
        <f t="shared" si="62"/>
        <v>0</v>
      </c>
      <c r="K149" s="4">
        <f t="shared" si="62"/>
        <v>0</v>
      </c>
      <c r="L149" s="4">
        <f t="shared" si="62"/>
        <v>0</v>
      </c>
      <c r="M149" s="1"/>
      <c r="N149" s="1"/>
      <c r="O149" s="1"/>
      <c r="P149" s="1"/>
      <c r="Q149" s="1"/>
      <c r="R149" s="1"/>
      <c r="S149" s="1"/>
    </row>
    <row r="150" spans="1:19" ht="18.75" hidden="1" customHeight="1">
      <c r="A150" s="2"/>
      <c r="B150" s="1" t="s">
        <v>360</v>
      </c>
      <c r="C150" s="4">
        <f t="shared" ref="C150:L150" si="63">C$134+NPV($J$2,C135:C140)</f>
        <v>134830.15610572119</v>
      </c>
      <c r="D150" s="4">
        <f t="shared" si="63"/>
        <v>134830.15610572119</v>
      </c>
      <c r="E150" s="4">
        <f t="shared" si="63"/>
        <v>186515.04927958094</v>
      </c>
      <c r="F150" s="4">
        <f t="shared" si="63"/>
        <v>0</v>
      </c>
      <c r="G150" s="4">
        <f t="shared" si="63"/>
        <v>0</v>
      </c>
      <c r="H150" s="4">
        <f t="shared" si="63"/>
        <v>0</v>
      </c>
      <c r="I150" s="4">
        <f t="shared" si="63"/>
        <v>0</v>
      </c>
      <c r="J150" s="4">
        <f t="shared" si="63"/>
        <v>0</v>
      </c>
      <c r="K150" s="4">
        <f t="shared" si="63"/>
        <v>0</v>
      </c>
      <c r="L150" s="4">
        <f t="shared" si="63"/>
        <v>0</v>
      </c>
      <c r="M150" s="1"/>
      <c r="N150" s="1"/>
      <c r="O150" s="1"/>
      <c r="P150" s="1"/>
      <c r="Q150" s="1"/>
      <c r="R150" s="1"/>
      <c r="S150" s="1"/>
    </row>
    <row r="151" spans="1:19" ht="18.75" hidden="1" customHeight="1">
      <c r="A151" s="2"/>
      <c r="B151" s="1" t="s">
        <v>361</v>
      </c>
      <c r="C151" s="4">
        <f t="shared" ref="C151:L151" si="64">C$134+NPV($J$2,C135:C141)</f>
        <v>151244.38087088574</v>
      </c>
      <c r="D151" s="4">
        <f t="shared" si="64"/>
        <v>151244.38087088574</v>
      </c>
      <c r="E151" s="4">
        <f t="shared" si="64"/>
        <v>209221.39353805859</v>
      </c>
      <c r="F151" s="4">
        <f t="shared" si="64"/>
        <v>0</v>
      </c>
      <c r="G151" s="4">
        <f t="shared" si="64"/>
        <v>0</v>
      </c>
      <c r="H151" s="4">
        <f t="shared" si="64"/>
        <v>0</v>
      </c>
      <c r="I151" s="4">
        <f t="shared" si="64"/>
        <v>0</v>
      </c>
      <c r="J151" s="4">
        <f t="shared" si="64"/>
        <v>0</v>
      </c>
      <c r="K151" s="4">
        <f t="shared" si="64"/>
        <v>0</v>
      </c>
      <c r="L151" s="4">
        <f t="shared" si="64"/>
        <v>0</v>
      </c>
      <c r="M151" s="1"/>
      <c r="N151" s="1"/>
      <c r="O151" s="1"/>
      <c r="P151" s="1"/>
      <c r="Q151" s="1"/>
      <c r="R151" s="1"/>
      <c r="S151" s="1"/>
    </row>
    <row r="152" spans="1:19" ht="18.75" hidden="1" customHeight="1">
      <c r="A152" s="2"/>
      <c r="B152" s="1" t="s">
        <v>362</v>
      </c>
      <c r="C152" s="4">
        <f t="shared" ref="C152:L152" si="65">C$134+NPV($J$2,C135:C142)</f>
        <v>167027.2892989286</v>
      </c>
      <c r="D152" s="4">
        <f t="shared" si="65"/>
        <v>167027.2892989286</v>
      </c>
      <c r="E152" s="4">
        <f t="shared" si="65"/>
        <v>231054.41686351786</v>
      </c>
      <c r="F152" s="4">
        <f t="shared" si="65"/>
        <v>0</v>
      </c>
      <c r="G152" s="4">
        <f t="shared" si="65"/>
        <v>0</v>
      </c>
      <c r="H152" s="4">
        <f t="shared" si="65"/>
        <v>0</v>
      </c>
      <c r="I152" s="4">
        <f t="shared" si="65"/>
        <v>0</v>
      </c>
      <c r="J152" s="4">
        <f t="shared" si="65"/>
        <v>0</v>
      </c>
      <c r="K152" s="4">
        <f t="shared" si="65"/>
        <v>0</v>
      </c>
      <c r="L152" s="4">
        <f t="shared" si="65"/>
        <v>0</v>
      </c>
      <c r="M152" s="1"/>
      <c r="N152" s="1"/>
      <c r="O152" s="1"/>
      <c r="P152" s="1"/>
      <c r="Q152" s="1"/>
      <c r="R152" s="1"/>
      <c r="S152" s="1"/>
    </row>
    <row r="153" spans="1:19" ht="18.75" hidden="1" customHeight="1">
      <c r="A153" s="2"/>
      <c r="B153" s="12" t="s">
        <v>363</v>
      </c>
      <c r="C153" s="43">
        <f t="shared" ref="C153:L153" si="66">C$134+NPV($J$2,C135:C143)</f>
        <v>182203.16278743133</v>
      </c>
      <c r="D153" s="43">
        <f t="shared" si="66"/>
        <v>182203.16278743133</v>
      </c>
      <c r="E153" s="43">
        <f t="shared" si="66"/>
        <v>252047.70852261333</v>
      </c>
      <c r="F153" s="43">
        <f t="shared" si="66"/>
        <v>0</v>
      </c>
      <c r="G153" s="43">
        <f t="shared" si="66"/>
        <v>0</v>
      </c>
      <c r="H153" s="43">
        <f t="shared" si="66"/>
        <v>0</v>
      </c>
      <c r="I153" s="43">
        <f t="shared" si="66"/>
        <v>0</v>
      </c>
      <c r="J153" s="43">
        <f t="shared" si="66"/>
        <v>0</v>
      </c>
      <c r="K153" s="43">
        <f t="shared" si="66"/>
        <v>0</v>
      </c>
      <c r="L153" s="43">
        <f t="shared" si="66"/>
        <v>0</v>
      </c>
      <c r="M153" s="1"/>
      <c r="N153" s="1"/>
      <c r="O153" s="1"/>
      <c r="P153" s="1"/>
      <c r="Q153" s="1"/>
      <c r="R153" s="1"/>
      <c r="S153" s="1"/>
    </row>
    <row r="154" spans="1:19" ht="18.75" hidden="1" customHeight="1">
      <c r="A154" s="2"/>
      <c r="B154" s="1" t="s">
        <v>364</v>
      </c>
      <c r="C154" s="1">
        <f>C$16*6+C$17*6</f>
        <v>49602</v>
      </c>
      <c r="D154" s="1">
        <f t="shared" ref="D154:L154" si="67">D$16*6+D$17*6</f>
        <v>37092</v>
      </c>
      <c r="E154" s="1">
        <f t="shared" si="67"/>
        <v>49602</v>
      </c>
      <c r="F154" s="1">
        <f t="shared" si="67"/>
        <v>0</v>
      </c>
      <c r="G154" s="1">
        <f t="shared" si="67"/>
        <v>0</v>
      </c>
      <c r="H154" s="1">
        <f t="shared" si="67"/>
        <v>0</v>
      </c>
      <c r="I154" s="1">
        <f t="shared" si="67"/>
        <v>0</v>
      </c>
      <c r="J154" s="1">
        <f t="shared" si="67"/>
        <v>0</v>
      </c>
      <c r="K154" s="1">
        <f t="shared" si="67"/>
        <v>0</v>
      </c>
      <c r="L154" s="1">
        <f t="shared" si="67"/>
        <v>0</v>
      </c>
      <c r="M154" s="1"/>
      <c r="N154" s="1"/>
      <c r="O154" s="1"/>
      <c r="P154" s="1"/>
      <c r="Q154" s="1"/>
      <c r="R154" s="1"/>
      <c r="S154" s="1"/>
    </row>
    <row r="155" spans="1:19" ht="18.75" hidden="1" customHeight="1">
      <c r="A155" s="2"/>
      <c r="B155" s="1" t="s">
        <v>365</v>
      </c>
      <c r="C155" s="1">
        <f>C$17*12</f>
        <v>42588</v>
      </c>
      <c r="D155" s="1">
        <f t="shared" ref="D155:L155" si="68">D$17*12</f>
        <v>37092</v>
      </c>
      <c r="E155" s="1">
        <f t="shared" si="68"/>
        <v>42588</v>
      </c>
      <c r="F155" s="1">
        <f t="shared" si="68"/>
        <v>0</v>
      </c>
      <c r="G155" s="1">
        <f t="shared" si="68"/>
        <v>0</v>
      </c>
      <c r="H155" s="1">
        <f t="shared" si="68"/>
        <v>0</v>
      </c>
      <c r="I155" s="1">
        <f t="shared" si="68"/>
        <v>0</v>
      </c>
      <c r="J155" s="1">
        <f t="shared" si="68"/>
        <v>0</v>
      </c>
      <c r="K155" s="1">
        <f t="shared" si="68"/>
        <v>0</v>
      </c>
      <c r="L155" s="1">
        <f t="shared" si="68"/>
        <v>0</v>
      </c>
      <c r="M155" s="1"/>
      <c r="N155" s="1"/>
      <c r="O155" s="1"/>
      <c r="P155" s="1"/>
      <c r="Q155" s="1"/>
      <c r="R155" s="1"/>
      <c r="S155" s="1"/>
    </row>
    <row r="156" spans="1:19" ht="18.75" hidden="1" customHeight="1">
      <c r="A156" s="2"/>
      <c r="B156" s="1" t="s">
        <v>366</v>
      </c>
      <c r="C156" s="1">
        <f t="shared" ref="C156:L163" si="69">C$155*1</f>
        <v>42588</v>
      </c>
      <c r="D156" s="1">
        <f t="shared" si="69"/>
        <v>37092</v>
      </c>
      <c r="E156" s="1">
        <f t="shared" si="69"/>
        <v>42588</v>
      </c>
      <c r="F156" s="1">
        <f t="shared" si="69"/>
        <v>0</v>
      </c>
      <c r="G156" s="1">
        <f t="shared" si="69"/>
        <v>0</v>
      </c>
      <c r="H156" s="1">
        <f t="shared" si="69"/>
        <v>0</v>
      </c>
      <c r="I156" s="1">
        <f t="shared" si="69"/>
        <v>0</v>
      </c>
      <c r="J156" s="1">
        <f t="shared" si="69"/>
        <v>0</v>
      </c>
      <c r="K156" s="1">
        <f t="shared" si="69"/>
        <v>0</v>
      </c>
      <c r="L156" s="1">
        <f t="shared" si="69"/>
        <v>0</v>
      </c>
      <c r="M156" s="1"/>
      <c r="N156" s="1"/>
      <c r="O156" s="1"/>
      <c r="P156" s="1"/>
      <c r="Q156" s="1"/>
      <c r="R156" s="1"/>
      <c r="S156" s="1"/>
    </row>
    <row r="157" spans="1:19" ht="18.75" hidden="1" customHeight="1">
      <c r="A157" s="2"/>
      <c r="B157" s="1" t="s">
        <v>367</v>
      </c>
      <c r="C157" s="1">
        <f t="shared" si="69"/>
        <v>42588</v>
      </c>
      <c r="D157" s="1">
        <f t="shared" si="69"/>
        <v>37092</v>
      </c>
      <c r="E157" s="1">
        <f t="shared" si="69"/>
        <v>42588</v>
      </c>
      <c r="F157" s="1">
        <f t="shared" si="69"/>
        <v>0</v>
      </c>
      <c r="G157" s="1">
        <f t="shared" si="69"/>
        <v>0</v>
      </c>
      <c r="H157" s="1">
        <f t="shared" si="69"/>
        <v>0</v>
      </c>
      <c r="I157" s="1">
        <f t="shared" si="69"/>
        <v>0</v>
      </c>
      <c r="J157" s="1">
        <f t="shared" si="69"/>
        <v>0</v>
      </c>
      <c r="K157" s="1">
        <f t="shared" si="69"/>
        <v>0</v>
      </c>
      <c r="L157" s="1">
        <f t="shared" si="69"/>
        <v>0</v>
      </c>
      <c r="M157" s="1"/>
      <c r="N157" s="1"/>
      <c r="O157" s="1"/>
      <c r="P157" s="1"/>
      <c r="Q157" s="1"/>
      <c r="R157" s="1"/>
      <c r="S157" s="1"/>
    </row>
    <row r="158" spans="1:19" ht="18.75" hidden="1" customHeight="1">
      <c r="A158" s="2"/>
      <c r="B158" s="1" t="s">
        <v>368</v>
      </c>
      <c r="C158" s="1">
        <f t="shared" si="69"/>
        <v>42588</v>
      </c>
      <c r="D158" s="1">
        <f t="shared" si="69"/>
        <v>37092</v>
      </c>
      <c r="E158" s="1">
        <f t="shared" si="69"/>
        <v>42588</v>
      </c>
      <c r="F158" s="1">
        <f t="shared" si="69"/>
        <v>0</v>
      </c>
      <c r="G158" s="1">
        <f t="shared" si="69"/>
        <v>0</v>
      </c>
      <c r="H158" s="1">
        <f t="shared" si="69"/>
        <v>0</v>
      </c>
      <c r="I158" s="1">
        <f t="shared" si="69"/>
        <v>0</v>
      </c>
      <c r="J158" s="1">
        <f t="shared" si="69"/>
        <v>0</v>
      </c>
      <c r="K158" s="1">
        <f t="shared" si="69"/>
        <v>0</v>
      </c>
      <c r="L158" s="1">
        <f t="shared" si="69"/>
        <v>0</v>
      </c>
      <c r="M158" s="1"/>
      <c r="N158" s="1"/>
      <c r="O158" s="1"/>
      <c r="P158" s="1"/>
      <c r="Q158" s="1"/>
      <c r="R158" s="1"/>
      <c r="S158" s="1"/>
    </row>
    <row r="159" spans="1:19" ht="18.75" hidden="1" customHeight="1">
      <c r="A159" s="2"/>
      <c r="B159" s="1" t="s">
        <v>369</v>
      </c>
      <c r="C159" s="1">
        <f t="shared" si="69"/>
        <v>42588</v>
      </c>
      <c r="D159" s="1">
        <f t="shared" si="69"/>
        <v>37092</v>
      </c>
      <c r="E159" s="1">
        <f t="shared" si="69"/>
        <v>42588</v>
      </c>
      <c r="F159" s="1">
        <f t="shared" si="69"/>
        <v>0</v>
      </c>
      <c r="G159" s="1">
        <f t="shared" si="69"/>
        <v>0</v>
      </c>
      <c r="H159" s="1">
        <f t="shared" si="69"/>
        <v>0</v>
      </c>
      <c r="I159" s="1">
        <f t="shared" si="69"/>
        <v>0</v>
      </c>
      <c r="J159" s="1">
        <f t="shared" si="69"/>
        <v>0</v>
      </c>
      <c r="K159" s="1">
        <f t="shared" si="69"/>
        <v>0</v>
      </c>
      <c r="L159" s="1">
        <f t="shared" si="69"/>
        <v>0</v>
      </c>
      <c r="M159" s="1"/>
      <c r="N159" s="1"/>
      <c r="O159" s="1"/>
      <c r="P159" s="1"/>
      <c r="Q159" s="1"/>
      <c r="R159" s="1"/>
      <c r="S159" s="1"/>
    </row>
    <row r="160" spans="1:19" ht="18.75" hidden="1" customHeight="1">
      <c r="A160" s="2"/>
      <c r="B160" s="1" t="s">
        <v>370</v>
      </c>
      <c r="C160" s="1">
        <f t="shared" si="69"/>
        <v>42588</v>
      </c>
      <c r="D160" s="1">
        <f t="shared" si="69"/>
        <v>37092</v>
      </c>
      <c r="E160" s="1">
        <f t="shared" si="69"/>
        <v>42588</v>
      </c>
      <c r="F160" s="1">
        <f t="shared" si="69"/>
        <v>0</v>
      </c>
      <c r="G160" s="1">
        <f t="shared" si="69"/>
        <v>0</v>
      </c>
      <c r="H160" s="1">
        <f t="shared" si="69"/>
        <v>0</v>
      </c>
      <c r="I160" s="1">
        <f t="shared" si="69"/>
        <v>0</v>
      </c>
      <c r="J160" s="1">
        <f t="shared" si="69"/>
        <v>0</v>
      </c>
      <c r="K160" s="1">
        <f t="shared" si="69"/>
        <v>0</v>
      </c>
      <c r="L160" s="1">
        <f t="shared" si="69"/>
        <v>0</v>
      </c>
      <c r="M160" s="1"/>
      <c r="N160" s="1"/>
      <c r="O160" s="1"/>
      <c r="P160" s="1"/>
      <c r="Q160" s="1"/>
      <c r="R160" s="1"/>
      <c r="S160" s="1"/>
    </row>
    <row r="161" spans="1:19" ht="18.75" hidden="1" customHeight="1">
      <c r="A161" s="2"/>
      <c r="B161" s="1" t="s">
        <v>371</v>
      </c>
      <c r="C161" s="1">
        <f t="shared" si="69"/>
        <v>42588</v>
      </c>
      <c r="D161" s="1">
        <f t="shared" si="69"/>
        <v>37092</v>
      </c>
      <c r="E161" s="1">
        <f t="shared" si="69"/>
        <v>42588</v>
      </c>
      <c r="F161" s="1">
        <f t="shared" si="69"/>
        <v>0</v>
      </c>
      <c r="G161" s="1">
        <f t="shared" si="69"/>
        <v>0</v>
      </c>
      <c r="H161" s="1">
        <f t="shared" si="69"/>
        <v>0</v>
      </c>
      <c r="I161" s="1">
        <f t="shared" si="69"/>
        <v>0</v>
      </c>
      <c r="J161" s="1">
        <f t="shared" si="69"/>
        <v>0</v>
      </c>
      <c r="K161" s="1">
        <f t="shared" si="69"/>
        <v>0</v>
      </c>
      <c r="L161" s="1">
        <f t="shared" si="69"/>
        <v>0</v>
      </c>
      <c r="M161" s="1"/>
      <c r="N161" s="1"/>
      <c r="O161" s="1"/>
      <c r="P161" s="1"/>
      <c r="Q161" s="1"/>
      <c r="R161" s="1"/>
      <c r="S161" s="1"/>
    </row>
    <row r="162" spans="1:19" ht="18.75" hidden="1" customHeight="1">
      <c r="A162" s="2"/>
      <c r="B162" s="1" t="s">
        <v>372</v>
      </c>
      <c r="C162" s="1">
        <f t="shared" si="69"/>
        <v>42588</v>
      </c>
      <c r="D162" s="1">
        <f t="shared" si="69"/>
        <v>37092</v>
      </c>
      <c r="E162" s="1">
        <f t="shared" si="69"/>
        <v>42588</v>
      </c>
      <c r="F162" s="1">
        <f t="shared" si="69"/>
        <v>0</v>
      </c>
      <c r="G162" s="1">
        <f t="shared" si="69"/>
        <v>0</v>
      </c>
      <c r="H162" s="1">
        <f t="shared" si="69"/>
        <v>0</v>
      </c>
      <c r="I162" s="1">
        <f t="shared" si="69"/>
        <v>0</v>
      </c>
      <c r="J162" s="1">
        <f t="shared" si="69"/>
        <v>0</v>
      </c>
      <c r="K162" s="1">
        <f t="shared" si="69"/>
        <v>0</v>
      </c>
      <c r="L162" s="1">
        <f t="shared" si="69"/>
        <v>0</v>
      </c>
      <c r="M162" s="1"/>
      <c r="N162" s="1"/>
      <c r="O162" s="1"/>
      <c r="P162" s="1"/>
      <c r="Q162" s="1"/>
      <c r="R162" s="1"/>
      <c r="S162" s="1"/>
    </row>
    <row r="163" spans="1:19" ht="18.75" hidden="1" customHeight="1">
      <c r="A163" s="2"/>
      <c r="B163" s="12" t="s">
        <v>373</v>
      </c>
      <c r="C163" s="12">
        <f t="shared" si="69"/>
        <v>42588</v>
      </c>
      <c r="D163" s="12">
        <f t="shared" si="69"/>
        <v>37092</v>
      </c>
      <c r="E163" s="12">
        <f t="shared" si="69"/>
        <v>42588</v>
      </c>
      <c r="F163" s="12">
        <f t="shared" si="69"/>
        <v>0</v>
      </c>
      <c r="G163" s="12">
        <f t="shared" si="69"/>
        <v>0</v>
      </c>
      <c r="H163" s="12">
        <f t="shared" si="69"/>
        <v>0</v>
      </c>
      <c r="I163" s="12">
        <f t="shared" si="69"/>
        <v>0</v>
      </c>
      <c r="J163" s="12">
        <f t="shared" si="69"/>
        <v>0</v>
      </c>
      <c r="K163" s="12">
        <f t="shared" si="69"/>
        <v>0</v>
      </c>
      <c r="L163" s="12">
        <f t="shared" si="69"/>
        <v>0</v>
      </c>
      <c r="M163" s="1"/>
      <c r="N163" s="1"/>
      <c r="O163" s="1"/>
      <c r="P163" s="1"/>
      <c r="Q163" s="1"/>
      <c r="R163" s="1"/>
      <c r="S163" s="1"/>
    </row>
    <row r="164" spans="1:19" ht="18.75" hidden="1" customHeight="1">
      <c r="A164" s="2"/>
      <c r="B164" s="1" t="s">
        <v>374</v>
      </c>
      <c r="C164" s="4">
        <f t="shared" ref="C164:L164" si="70">C$154</f>
        <v>49602</v>
      </c>
      <c r="D164" s="4">
        <f t="shared" si="70"/>
        <v>37092</v>
      </c>
      <c r="E164" s="4">
        <f t="shared" si="70"/>
        <v>49602</v>
      </c>
      <c r="F164" s="4">
        <f t="shared" si="70"/>
        <v>0</v>
      </c>
      <c r="G164" s="4">
        <f t="shared" si="70"/>
        <v>0</v>
      </c>
      <c r="H164" s="4">
        <f t="shared" si="70"/>
        <v>0</v>
      </c>
      <c r="I164" s="4">
        <f t="shared" si="70"/>
        <v>0</v>
      </c>
      <c r="J164" s="4">
        <f t="shared" si="70"/>
        <v>0</v>
      </c>
      <c r="K164" s="4">
        <f t="shared" si="70"/>
        <v>0</v>
      </c>
      <c r="L164" s="4">
        <f t="shared" si="70"/>
        <v>0</v>
      </c>
      <c r="M164" s="1"/>
      <c r="N164" s="1"/>
      <c r="O164" s="1"/>
      <c r="P164" s="1"/>
      <c r="Q164" s="1"/>
      <c r="R164" s="1"/>
      <c r="S164" s="1"/>
    </row>
    <row r="165" spans="1:19" ht="18.75" hidden="1" customHeight="1">
      <c r="A165" s="2"/>
      <c r="B165" s="1" t="s">
        <v>375</v>
      </c>
      <c r="C165" s="4">
        <f t="shared" ref="C165:L165" si="71">C$154+NPV($J$2,C155)</f>
        <v>90552</v>
      </c>
      <c r="D165" s="4">
        <f t="shared" si="71"/>
        <v>72757.384615384624</v>
      </c>
      <c r="E165" s="4">
        <f t="shared" si="71"/>
        <v>90552</v>
      </c>
      <c r="F165" s="4">
        <f t="shared" si="71"/>
        <v>0</v>
      </c>
      <c r="G165" s="4">
        <f t="shared" si="71"/>
        <v>0</v>
      </c>
      <c r="H165" s="4">
        <f t="shared" si="71"/>
        <v>0</v>
      </c>
      <c r="I165" s="4">
        <f t="shared" si="71"/>
        <v>0</v>
      </c>
      <c r="J165" s="4">
        <f t="shared" si="71"/>
        <v>0</v>
      </c>
      <c r="K165" s="4">
        <f t="shared" si="71"/>
        <v>0</v>
      </c>
      <c r="L165" s="4">
        <f t="shared" si="71"/>
        <v>0</v>
      </c>
      <c r="M165" s="1"/>
      <c r="N165" s="1"/>
      <c r="O165" s="1"/>
      <c r="P165" s="1"/>
      <c r="Q165" s="1"/>
      <c r="R165" s="1"/>
      <c r="S165" s="1"/>
    </row>
    <row r="166" spans="1:19" ht="18.75" hidden="1" customHeight="1">
      <c r="A166" s="2"/>
      <c r="B166" s="1" t="s">
        <v>376</v>
      </c>
      <c r="C166" s="4">
        <f t="shared" ref="C166:L166" si="72">C$154+NPV($J$2,C155:C156)</f>
        <v>129927</v>
      </c>
      <c r="D166" s="4">
        <f t="shared" si="72"/>
        <v>107051.02366863906</v>
      </c>
      <c r="E166" s="4">
        <f t="shared" si="72"/>
        <v>129927</v>
      </c>
      <c r="F166" s="4">
        <f t="shared" si="72"/>
        <v>0</v>
      </c>
      <c r="G166" s="4">
        <f t="shared" si="72"/>
        <v>0</v>
      </c>
      <c r="H166" s="4">
        <f t="shared" si="72"/>
        <v>0</v>
      </c>
      <c r="I166" s="4">
        <f t="shared" si="72"/>
        <v>0</v>
      </c>
      <c r="J166" s="4">
        <f t="shared" si="72"/>
        <v>0</v>
      </c>
      <c r="K166" s="4">
        <f t="shared" si="72"/>
        <v>0</v>
      </c>
      <c r="L166" s="4">
        <f t="shared" si="72"/>
        <v>0</v>
      </c>
      <c r="M166" s="1"/>
      <c r="N166" s="1"/>
      <c r="O166" s="1"/>
      <c r="P166" s="1"/>
      <c r="Q166" s="1"/>
      <c r="R166" s="1"/>
      <c r="S166" s="1"/>
    </row>
    <row r="167" spans="1:19" ht="18.75" hidden="1" customHeight="1">
      <c r="A167" s="2"/>
      <c r="B167" s="1" t="s">
        <v>377</v>
      </c>
      <c r="C167" s="4">
        <f t="shared" ref="C167:L167" si="73">C$154+NPV($J$2,C155:C157)</f>
        <v>167787.57692307694</v>
      </c>
      <c r="D167" s="4">
        <f t="shared" si="73"/>
        <v>140025.67660446063</v>
      </c>
      <c r="E167" s="4">
        <f t="shared" si="73"/>
        <v>167787.57692307694</v>
      </c>
      <c r="F167" s="4">
        <f t="shared" si="73"/>
        <v>0</v>
      </c>
      <c r="G167" s="4">
        <f t="shared" si="73"/>
        <v>0</v>
      </c>
      <c r="H167" s="4">
        <f t="shared" si="73"/>
        <v>0</v>
      </c>
      <c r="I167" s="4">
        <f t="shared" si="73"/>
        <v>0</v>
      </c>
      <c r="J167" s="4">
        <f t="shared" si="73"/>
        <v>0</v>
      </c>
      <c r="K167" s="4">
        <f t="shared" si="73"/>
        <v>0</v>
      </c>
      <c r="L167" s="4">
        <f t="shared" si="73"/>
        <v>0</v>
      </c>
      <c r="M167" s="1"/>
      <c r="N167" s="1"/>
      <c r="O167" s="1"/>
      <c r="P167" s="1"/>
      <c r="Q167" s="1"/>
      <c r="R167" s="1"/>
      <c r="S167" s="1"/>
    </row>
    <row r="168" spans="1:19" ht="18.75" hidden="1" customHeight="1">
      <c r="A168" s="2"/>
      <c r="B168" s="1" t="s">
        <v>378</v>
      </c>
      <c r="C168" s="4">
        <f t="shared" ref="C168:L168" si="74">C$154+NPV($J$2,C155:C158)</f>
        <v>204191.97781065089</v>
      </c>
      <c r="D168" s="4">
        <f t="shared" si="74"/>
        <v>171732.07365813522</v>
      </c>
      <c r="E168" s="4">
        <f t="shared" si="74"/>
        <v>204191.97781065089</v>
      </c>
      <c r="F168" s="4">
        <f t="shared" si="74"/>
        <v>0</v>
      </c>
      <c r="G168" s="4">
        <f t="shared" si="74"/>
        <v>0</v>
      </c>
      <c r="H168" s="4">
        <f t="shared" si="74"/>
        <v>0</v>
      </c>
      <c r="I168" s="4">
        <f t="shared" si="74"/>
        <v>0</v>
      </c>
      <c r="J168" s="4">
        <f t="shared" si="74"/>
        <v>0</v>
      </c>
      <c r="K168" s="4">
        <f t="shared" si="74"/>
        <v>0</v>
      </c>
      <c r="L168" s="4">
        <f t="shared" si="74"/>
        <v>0</v>
      </c>
      <c r="M168" s="1"/>
      <c r="N168" s="1"/>
      <c r="O168" s="1"/>
      <c r="P168" s="1"/>
      <c r="Q168" s="1"/>
      <c r="R168" s="1"/>
      <c r="S168" s="1"/>
    </row>
    <row r="169" spans="1:19" ht="18.75" hidden="1" customHeight="1">
      <c r="A169" s="2"/>
      <c r="B169" s="1" t="s">
        <v>379</v>
      </c>
      <c r="C169" s="4">
        <f t="shared" ref="C169:L169" si="75">C$154+NPV($J$2,C155:C159)</f>
        <v>239196.20943331814</v>
      </c>
      <c r="D169" s="4">
        <f t="shared" si="75"/>
        <v>202218.9939020531</v>
      </c>
      <c r="E169" s="4">
        <f t="shared" si="75"/>
        <v>239196.20943331814</v>
      </c>
      <c r="F169" s="4">
        <f t="shared" si="75"/>
        <v>0</v>
      </c>
      <c r="G169" s="4">
        <f t="shared" si="75"/>
        <v>0</v>
      </c>
      <c r="H169" s="4">
        <f t="shared" si="75"/>
        <v>0</v>
      </c>
      <c r="I169" s="4">
        <f t="shared" si="75"/>
        <v>0</v>
      </c>
      <c r="J169" s="4">
        <f t="shared" si="75"/>
        <v>0</v>
      </c>
      <c r="K169" s="4">
        <f t="shared" si="75"/>
        <v>0</v>
      </c>
      <c r="L169" s="4">
        <f t="shared" si="75"/>
        <v>0</v>
      </c>
      <c r="M169" s="1"/>
      <c r="N169" s="1"/>
      <c r="O169" s="1"/>
      <c r="P169" s="1"/>
      <c r="Q169" s="1"/>
      <c r="R169" s="1"/>
      <c r="S169" s="1"/>
    </row>
    <row r="170" spans="1:19" ht="18.75" hidden="1" customHeight="1">
      <c r="A170" s="2"/>
      <c r="B170" s="1" t="s">
        <v>380</v>
      </c>
      <c r="C170" s="4">
        <f t="shared" ref="C170:L170" si="76">C$154+NPV($J$2,C155:C160)</f>
        <v>272854.1244551136</v>
      </c>
      <c r="D170" s="4">
        <f t="shared" si="76"/>
        <v>231533.34029043568</v>
      </c>
      <c r="E170" s="4">
        <f t="shared" si="76"/>
        <v>272854.1244551136</v>
      </c>
      <c r="F170" s="4">
        <f t="shared" si="76"/>
        <v>0</v>
      </c>
      <c r="G170" s="4">
        <f t="shared" si="76"/>
        <v>0</v>
      </c>
      <c r="H170" s="4">
        <f t="shared" si="76"/>
        <v>0</v>
      </c>
      <c r="I170" s="4">
        <f t="shared" si="76"/>
        <v>0</v>
      </c>
      <c r="J170" s="4">
        <f t="shared" si="76"/>
        <v>0</v>
      </c>
      <c r="K170" s="4">
        <f t="shared" si="76"/>
        <v>0</v>
      </c>
      <c r="L170" s="4">
        <f t="shared" si="76"/>
        <v>0</v>
      </c>
      <c r="M170" s="1"/>
      <c r="N170" s="1"/>
      <c r="O170" s="1"/>
      <c r="P170" s="1"/>
      <c r="Q170" s="1"/>
      <c r="R170" s="1"/>
      <c r="S170" s="1"/>
    </row>
    <row r="171" spans="1:19" ht="18.75" hidden="1" customHeight="1">
      <c r="A171" s="2"/>
      <c r="B171" s="1" t="s">
        <v>381</v>
      </c>
      <c r="C171" s="4">
        <f t="shared" ref="C171:L171" si="77">C$154+NPV($J$2,C155:C161)</f>
        <v>305217.50428376306</v>
      </c>
      <c r="D171" s="4">
        <f t="shared" si="77"/>
        <v>259720.21181772661</v>
      </c>
      <c r="E171" s="4">
        <f t="shared" si="77"/>
        <v>305217.50428376306</v>
      </c>
      <c r="F171" s="4">
        <f t="shared" si="77"/>
        <v>0</v>
      </c>
      <c r="G171" s="4">
        <f t="shared" si="77"/>
        <v>0</v>
      </c>
      <c r="H171" s="4">
        <f t="shared" si="77"/>
        <v>0</v>
      </c>
      <c r="I171" s="4">
        <f t="shared" si="77"/>
        <v>0</v>
      </c>
      <c r="J171" s="4">
        <f t="shared" si="77"/>
        <v>0</v>
      </c>
      <c r="K171" s="4">
        <f t="shared" si="77"/>
        <v>0</v>
      </c>
      <c r="L171" s="4">
        <f t="shared" si="77"/>
        <v>0</v>
      </c>
      <c r="M171" s="1"/>
      <c r="N171" s="1"/>
      <c r="O171" s="1"/>
      <c r="P171" s="1"/>
      <c r="Q171" s="1"/>
      <c r="R171" s="1"/>
      <c r="S171" s="1"/>
    </row>
    <row r="172" spans="1:19" ht="18.75" hidden="1" customHeight="1">
      <c r="A172" s="2"/>
      <c r="B172" s="1" t="s">
        <v>382</v>
      </c>
      <c r="C172" s="4">
        <f t="shared" ref="C172:L172" si="78">C$154+NPV($J$2,C155:C162)</f>
        <v>336336.13873438752</v>
      </c>
      <c r="D172" s="4">
        <f t="shared" si="78"/>
        <v>286822.97290166019</v>
      </c>
      <c r="E172" s="4">
        <f t="shared" si="78"/>
        <v>336336.13873438752</v>
      </c>
      <c r="F172" s="4">
        <f t="shared" si="78"/>
        <v>0</v>
      </c>
      <c r="G172" s="4">
        <f t="shared" si="78"/>
        <v>0</v>
      </c>
      <c r="H172" s="4">
        <f t="shared" si="78"/>
        <v>0</v>
      </c>
      <c r="I172" s="4">
        <f t="shared" si="78"/>
        <v>0</v>
      </c>
      <c r="J172" s="4">
        <f t="shared" si="78"/>
        <v>0</v>
      </c>
      <c r="K172" s="4">
        <f t="shared" si="78"/>
        <v>0</v>
      </c>
      <c r="L172" s="4">
        <f t="shared" si="78"/>
        <v>0</v>
      </c>
      <c r="M172" s="1"/>
      <c r="N172" s="1"/>
      <c r="O172" s="1"/>
      <c r="P172" s="1"/>
      <c r="Q172" s="1"/>
      <c r="R172" s="1"/>
      <c r="S172" s="1"/>
    </row>
    <row r="173" spans="1:19" ht="18.75" hidden="1" customHeight="1">
      <c r="A173" s="2"/>
      <c r="B173" s="1" t="s">
        <v>383</v>
      </c>
      <c r="C173" s="4">
        <f t="shared" ref="C173:L173" si="79">C$154+NPV($J$2,C155:C163)</f>
        <v>366257.90262921876</v>
      </c>
      <c r="D173" s="4">
        <f t="shared" si="79"/>
        <v>312883.32009775017</v>
      </c>
      <c r="E173" s="4">
        <f t="shared" si="79"/>
        <v>366257.90262921876</v>
      </c>
      <c r="F173" s="4">
        <f t="shared" si="79"/>
        <v>0</v>
      </c>
      <c r="G173" s="4">
        <f t="shared" si="79"/>
        <v>0</v>
      </c>
      <c r="H173" s="4">
        <f t="shared" si="79"/>
        <v>0</v>
      </c>
      <c r="I173" s="4">
        <f t="shared" si="79"/>
        <v>0</v>
      </c>
      <c r="J173" s="4">
        <f t="shared" si="79"/>
        <v>0</v>
      </c>
      <c r="K173" s="4">
        <f t="shared" si="79"/>
        <v>0</v>
      </c>
      <c r="L173" s="4">
        <f t="shared" si="79"/>
        <v>0</v>
      </c>
      <c r="M173" s="1"/>
      <c r="N173" s="1"/>
      <c r="O173" s="1"/>
      <c r="P173" s="1"/>
      <c r="Q173" s="1"/>
      <c r="R173" s="1"/>
      <c r="S173" s="1"/>
    </row>
  </sheetData>
  <dataConsolidate/>
  <mergeCells count="13">
    <mergeCell ref="A24:A32"/>
    <mergeCell ref="A5:B5"/>
    <mergeCell ref="Q5:R5"/>
    <mergeCell ref="Q7:R7"/>
    <mergeCell ref="A12:A22"/>
    <mergeCell ref="N12:O12"/>
    <mergeCell ref="N13:O13"/>
    <mergeCell ref="A2:B2"/>
    <mergeCell ref="Q2:R2"/>
    <mergeCell ref="A3:B3"/>
    <mergeCell ref="Q3:R3"/>
    <mergeCell ref="A4:B4"/>
    <mergeCell ref="Q4:R4"/>
  </mergeCells>
  <dataValidations count="4">
    <dataValidation type="list" allowBlank="1" showInputMessage="1" showErrorMessage="1" sqref="C4" xr:uid="{28E57D2B-0029-4340-951F-942883A2241F}">
      <formula1>$R$20:$R$29</formula1>
    </dataValidation>
    <dataValidation type="list" allowBlank="1" showInputMessage="1" showErrorMessage="1" sqref="C13:L13" xr:uid="{030643CB-15EA-4D69-8E63-C36974AB9DB7}">
      <formula1>$E$3:$E$9</formula1>
    </dataValidation>
    <dataValidation type="list" allowBlank="1" showInputMessage="1" showErrorMessage="1" sqref="C12:L12" xr:uid="{78DC4558-8FED-459C-A7DE-7AFC4114128A}">
      <formula1>$N$22:$N$23</formula1>
    </dataValidation>
    <dataValidation type="list" allowBlank="1" showInputMessage="1" showErrorMessage="1" sqref="C5:C6" xr:uid="{5CAE0752-8373-4C8E-91FD-8FDD416AD9E5}">
      <formula1>$R$12:$R$14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1E26B-0A20-46E6-AFC5-A2F565105494}">
  <dimension ref="A1:AE79"/>
  <sheetViews>
    <sheetView showGridLines="0" showRowColHeaders="0" zoomScale="70" zoomScaleNormal="70" workbookViewId="0">
      <selection activeCell="R22" sqref="R22"/>
    </sheetView>
  </sheetViews>
  <sheetFormatPr defaultColWidth="0" defaultRowHeight="0" customHeight="1" zeroHeight="1"/>
  <cols>
    <col min="1" max="1" width="6.7109375" customWidth="1"/>
    <col min="2" max="2" width="19.7109375" customWidth="1"/>
    <col min="3" max="15" width="9.140625" customWidth="1"/>
    <col min="16" max="16" width="17.42578125" bestFit="1" customWidth="1"/>
    <col min="17" max="17" width="9.140625" customWidth="1"/>
    <col min="18" max="18" width="29.28515625" customWidth="1"/>
    <col min="19" max="19" width="10.42578125" customWidth="1"/>
    <col min="20" max="20" width="5.28515625" customWidth="1"/>
    <col min="21" max="21" width="10.140625" bestFit="1" customWidth="1"/>
    <col min="22" max="25" width="9.140625" customWidth="1"/>
    <col min="26" max="27" width="10" customWidth="1"/>
    <col min="28" max="31" width="9.140625" customWidth="1"/>
    <col min="32" max="16384" width="9.140625" hidden="1"/>
  </cols>
  <sheetData>
    <row r="1" spans="1:30" ht="19.5" customHeight="1">
      <c r="P1" s="30"/>
    </row>
    <row r="2" spans="1:30" ht="26.1">
      <c r="B2" s="31" t="s">
        <v>0</v>
      </c>
      <c r="C2" s="32"/>
      <c r="D2" s="32"/>
      <c r="P2" s="30"/>
      <c r="R2" s="33" t="s">
        <v>49</v>
      </c>
      <c r="S2" s="34" t="s">
        <v>50</v>
      </c>
      <c r="T2" s="32"/>
      <c r="U2" s="32"/>
      <c r="V2" s="32"/>
      <c r="W2" s="32"/>
      <c r="X2" s="32"/>
      <c r="Y2" s="32"/>
      <c r="Z2" s="32"/>
    </row>
    <row r="3" spans="1:30" ht="17.25" customHeight="1">
      <c r="P3" s="30"/>
      <c r="R3" t="s">
        <v>52</v>
      </c>
      <c r="S3" t="s">
        <v>53</v>
      </c>
    </row>
    <row r="4" spans="1:30" ht="17.25" customHeight="1">
      <c r="B4" t="s">
        <v>4</v>
      </c>
      <c r="P4" s="30"/>
      <c r="S4" t="s">
        <v>54</v>
      </c>
    </row>
    <row r="5" spans="1:30" ht="17.25" customHeight="1">
      <c r="B5" t="s">
        <v>6</v>
      </c>
      <c r="P5" s="30"/>
      <c r="S5" t="s">
        <v>56</v>
      </c>
    </row>
    <row r="6" spans="1:30" ht="17.25" customHeight="1">
      <c r="B6" s="35" t="s">
        <v>7</v>
      </c>
      <c r="P6" s="30"/>
      <c r="AB6" s="49"/>
      <c r="AC6" s="49"/>
    </row>
    <row r="7" spans="1:30" ht="17.25" customHeight="1">
      <c r="P7" s="30"/>
      <c r="S7" t="s">
        <v>59</v>
      </c>
    </row>
    <row r="8" spans="1:30" ht="17.25" customHeight="1">
      <c r="P8" s="30"/>
      <c r="S8" t="s">
        <v>62</v>
      </c>
    </row>
    <row r="9" spans="1:30" ht="17.25" customHeight="1">
      <c r="P9" s="30"/>
      <c r="S9" t="s">
        <v>64</v>
      </c>
      <c r="AB9" s="39"/>
      <c r="AC9" s="39"/>
    </row>
    <row r="10" spans="1:30" ht="17.25" customHeight="1">
      <c r="P10" s="30"/>
      <c r="AA10" s="39"/>
      <c r="AB10" s="39"/>
      <c r="AC10" s="39"/>
      <c r="AD10" s="39"/>
    </row>
    <row r="11" spans="1:30" ht="23.65" thickBot="1">
      <c r="A11" s="36"/>
      <c r="B11" s="36"/>
      <c r="C11" s="36"/>
      <c r="D11" s="36"/>
      <c r="E11" s="36"/>
      <c r="F11" s="36"/>
      <c r="G11" s="36"/>
      <c r="H11" s="36"/>
      <c r="I11" s="36"/>
      <c r="J11" s="36"/>
      <c r="K11" s="36"/>
      <c r="L11" s="36"/>
      <c r="M11" s="36"/>
      <c r="N11" s="36"/>
      <c r="O11" s="36"/>
      <c r="P11" s="37"/>
      <c r="R11" s="33" t="s">
        <v>1</v>
      </c>
      <c r="S11" s="34" t="s">
        <v>2</v>
      </c>
      <c r="T11" s="32"/>
      <c r="U11" s="32"/>
      <c r="V11" s="32"/>
      <c r="W11" s="32"/>
      <c r="X11" s="32"/>
      <c r="AA11" s="49"/>
      <c r="AB11" s="49"/>
      <c r="AC11" s="49"/>
      <c r="AD11" s="39"/>
    </row>
    <row r="12" spans="1:30" ht="15" thickTop="1">
      <c r="AA12" s="49"/>
      <c r="AB12" s="49"/>
      <c r="AC12" s="49"/>
    </row>
    <row r="13" spans="1:30" ht="30" customHeight="1">
      <c r="B13" s="33" t="s">
        <v>16</v>
      </c>
      <c r="C13" s="34" t="s">
        <v>17</v>
      </c>
      <c r="D13" s="32"/>
      <c r="E13" s="32"/>
      <c r="F13" s="32"/>
      <c r="G13" s="32"/>
      <c r="H13" s="32"/>
      <c r="I13" s="32"/>
      <c r="J13" s="32"/>
      <c r="R13" s="133" t="s">
        <v>308</v>
      </c>
      <c r="S13" s="41" t="s">
        <v>384</v>
      </c>
      <c r="T13" s="41"/>
      <c r="U13" s="41"/>
      <c r="V13" s="41"/>
      <c r="W13" s="41"/>
      <c r="X13" s="41"/>
    </row>
    <row r="14" spans="1:30" ht="14.65">
      <c r="B14" t="s">
        <v>20</v>
      </c>
      <c r="C14" t="s">
        <v>21</v>
      </c>
      <c r="R14" s="133" t="s">
        <v>385</v>
      </c>
      <c r="S14" s="41" t="s">
        <v>386</v>
      </c>
      <c r="T14" s="41"/>
      <c r="U14" s="41"/>
      <c r="V14" s="41"/>
      <c r="W14" s="41"/>
      <c r="X14" s="41"/>
    </row>
    <row r="15" spans="1:30" ht="33.75" customHeight="1">
      <c r="C15" t="s">
        <v>23</v>
      </c>
      <c r="R15" s="134" t="s">
        <v>387</v>
      </c>
      <c r="S15" s="137" t="s">
        <v>388</v>
      </c>
      <c r="T15" s="137"/>
      <c r="U15" s="137"/>
      <c r="V15" s="137"/>
      <c r="W15" s="137"/>
      <c r="X15" s="137"/>
      <c r="Y15" s="137"/>
      <c r="Z15" s="137"/>
    </row>
    <row r="16" spans="1:30" ht="18" customHeight="1">
      <c r="R16" s="133" t="s">
        <v>389</v>
      </c>
      <c r="S16" s="41" t="s">
        <v>390</v>
      </c>
      <c r="T16" s="41"/>
      <c r="U16" s="41"/>
      <c r="V16" s="41"/>
      <c r="W16" s="41"/>
      <c r="X16" s="41"/>
    </row>
    <row r="17" spans="2:29" ht="18" customHeight="1">
      <c r="B17" t="s">
        <v>26</v>
      </c>
      <c r="C17" t="s">
        <v>27</v>
      </c>
      <c r="R17" s="133" t="s">
        <v>391</v>
      </c>
      <c r="S17" s="41" t="s">
        <v>392</v>
      </c>
      <c r="T17" s="41"/>
      <c r="U17" s="41"/>
      <c r="V17" s="41"/>
      <c r="W17" s="41"/>
      <c r="X17" s="41"/>
    </row>
    <row r="18" spans="2:29" ht="18" customHeight="1">
      <c r="C18" t="s">
        <v>29</v>
      </c>
      <c r="R18" s="133" t="s">
        <v>393</v>
      </c>
      <c r="S18" s="41" t="s">
        <v>394</v>
      </c>
      <c r="T18" s="135"/>
      <c r="U18" s="135"/>
      <c r="V18" s="135"/>
      <c r="W18" s="135"/>
      <c r="X18" s="135"/>
    </row>
    <row r="19" spans="2:29" ht="18" customHeight="1">
      <c r="R19" s="133" t="s">
        <v>395</v>
      </c>
      <c r="S19" s="41" t="s">
        <v>396</v>
      </c>
      <c r="T19" s="135"/>
      <c r="U19" s="135"/>
      <c r="V19" s="135"/>
      <c r="W19" s="135"/>
      <c r="X19" s="135"/>
    </row>
    <row r="20" spans="2:29" ht="18" customHeight="1">
      <c r="B20" t="s">
        <v>31</v>
      </c>
      <c r="C20" t="s">
        <v>32</v>
      </c>
      <c r="R20" s="133" t="s">
        <v>397</v>
      </c>
      <c r="S20" s="114" t="s">
        <v>398</v>
      </c>
      <c r="T20" s="113"/>
      <c r="U20" s="113"/>
      <c r="V20" s="113"/>
      <c r="W20" s="113"/>
      <c r="X20" s="113"/>
    </row>
    <row r="21" spans="2:29" ht="18" customHeight="1">
      <c r="C21" t="s">
        <v>35</v>
      </c>
      <c r="R21" s="133" t="s">
        <v>399</v>
      </c>
      <c r="S21" s="114" t="s">
        <v>400</v>
      </c>
      <c r="T21" s="113"/>
      <c r="U21" s="113"/>
      <c r="V21" s="113"/>
      <c r="W21" s="113"/>
      <c r="X21" s="113"/>
    </row>
    <row r="22" spans="2:29" ht="18" customHeight="1">
      <c r="C22" t="s">
        <v>37</v>
      </c>
      <c r="R22" s="133" t="s">
        <v>317</v>
      </c>
      <c r="S22" s="41" t="s">
        <v>401</v>
      </c>
      <c r="T22" s="41"/>
      <c r="U22" s="41"/>
      <c r="V22" s="41"/>
      <c r="W22" s="41"/>
      <c r="X22" s="41"/>
      <c r="Y22" s="41"/>
      <c r="Z22" s="41"/>
    </row>
    <row r="23" spans="2:29" ht="18" customHeight="1">
      <c r="Y23" s="41"/>
      <c r="Z23" s="41"/>
    </row>
    <row r="24" spans="2:29" ht="24" customHeight="1">
      <c r="B24" s="33" t="s">
        <v>42</v>
      </c>
      <c r="C24" s="34" t="s">
        <v>43</v>
      </c>
      <c r="D24" s="32"/>
      <c r="E24" s="32"/>
      <c r="F24" s="32"/>
      <c r="G24" s="32"/>
      <c r="H24" s="32"/>
      <c r="I24" s="32"/>
      <c r="J24" s="32"/>
      <c r="R24" s="33" t="s">
        <v>60</v>
      </c>
      <c r="S24" s="34" t="s">
        <v>61</v>
      </c>
      <c r="T24" s="32"/>
      <c r="U24" s="32"/>
      <c r="V24" s="32"/>
      <c r="W24" s="32"/>
      <c r="X24" s="32"/>
      <c r="Y24" s="41"/>
      <c r="Z24" s="41"/>
    </row>
    <row r="25" spans="2:29" ht="21.75" customHeight="1">
      <c r="B25" s="42"/>
      <c r="C25" t="s">
        <v>44</v>
      </c>
      <c r="S25" t="s">
        <v>63</v>
      </c>
      <c r="Y25" s="41"/>
      <c r="Z25" s="41"/>
    </row>
    <row r="26" spans="2:29" ht="23.25" customHeight="1">
      <c r="S26" t="s">
        <v>65</v>
      </c>
      <c r="Y26" s="41"/>
      <c r="Z26" s="41"/>
    </row>
    <row r="27" spans="2:29" ht="14.65">
      <c r="S27" t="s">
        <v>66</v>
      </c>
      <c r="Y27" s="135"/>
      <c r="Z27" s="135"/>
      <c r="AA27" s="49"/>
      <c r="AB27" s="49"/>
      <c r="AC27" s="49"/>
    </row>
    <row r="28" spans="2:29" ht="23.25" customHeight="1">
      <c r="S28" t="s">
        <v>69</v>
      </c>
      <c r="Y28" s="135"/>
      <c r="Z28" s="135"/>
      <c r="AA28" s="49"/>
      <c r="AB28" s="49"/>
      <c r="AC28" s="49"/>
    </row>
    <row r="29" spans="2:29" ht="14.65">
      <c r="Y29" s="113"/>
      <c r="Z29" s="113"/>
      <c r="AA29" s="49"/>
      <c r="AB29" s="49"/>
      <c r="AC29" s="49"/>
    </row>
    <row r="30" spans="2:29" ht="23.25" hidden="1" customHeight="1">
      <c r="Y30" s="113"/>
      <c r="Z30" s="113"/>
    </row>
    <row r="31" spans="2:29" ht="14.65" hidden="1">
      <c r="Y31" s="41"/>
      <c r="Z31" s="41"/>
      <c r="AA31" s="41"/>
      <c r="AB31" s="53"/>
      <c r="AC31" s="41"/>
    </row>
    <row r="32" spans="2:29" ht="14.65" hidden="1"/>
    <row r="33" ht="14.65" hidden="1"/>
    <row r="34" ht="14.65" hidden="1"/>
    <row r="35" ht="14.65" hidden="1"/>
    <row r="36" ht="14.65" hidden="1"/>
    <row r="37" ht="14.65" hidden="1"/>
    <row r="38" ht="14.65" hidden="1"/>
    <row r="39" ht="14.65" hidden="1"/>
    <row r="40" ht="14.65" hidden="1"/>
    <row r="41" ht="14.65" hidden="1"/>
    <row r="42" ht="14.65" hidden="1"/>
    <row r="43" ht="14.65" hidden="1"/>
    <row r="44" ht="14.65" hidden="1"/>
    <row r="45" ht="14.65" hidden="1"/>
    <row r="46" ht="14.65" hidden="1"/>
    <row r="47" ht="14.65" hidden="1"/>
    <row r="48" ht="14.65" hidden="1"/>
    <row r="49" ht="14.65" hidden="1"/>
    <row r="50" ht="14.65" hidden="1"/>
    <row r="51" ht="14.65" hidden="1"/>
    <row r="52" ht="14.65" hidden="1"/>
    <row r="53" ht="14.65" hidden="1"/>
    <row r="54" ht="14.65" hidden="1"/>
    <row r="55" ht="14.65" hidden="1"/>
    <row r="56" ht="14.65" hidden="1"/>
    <row r="57" ht="14.65" hidden="1"/>
    <row r="58" ht="14.65" hidden="1"/>
    <row r="59" ht="14.65" hidden="1"/>
    <row r="60" ht="14.65" hidden="1"/>
    <row r="61" ht="14.65" hidden="1"/>
    <row r="62" ht="14.65" hidden="1"/>
    <row r="63" ht="14.65" hidden="1"/>
    <row r="64" ht="14.65" hidden="1"/>
    <row r="65" ht="14.65" hidden="1"/>
    <row r="66" ht="14.65" hidden="1"/>
    <row r="67" ht="14.65" hidden="1"/>
    <row r="68" ht="14.65" hidden="1"/>
    <row r="69" ht="14.65" hidden="1"/>
    <row r="70" ht="14.65" hidden="1"/>
    <row r="71" ht="14.65" hidden="1"/>
    <row r="72" ht="14.65" hidden="1"/>
    <row r="73" ht="14.65" hidden="1"/>
    <row r="74" ht="14.65" hidden="1"/>
    <row r="75" ht="14.65" hidden="1"/>
    <row r="76" ht="14.65" hidden="1"/>
    <row r="77" ht="15" hidden="1" customHeight="1"/>
    <row r="78" ht="15" hidden="1" customHeight="1"/>
    <row r="79" ht="15" hidden="1" customHeight="1"/>
  </sheetData>
  <sheetProtection algorithmName="SHA-512" hashValue="MJyXs7MYUoZtXDHYeGc8F/rWHxte643ZKEV0rzzjTuEGQnegLpmGyn73wAr5I47o3WZOfzdRV+nK1J69c9aUrA==" saltValue="YWZR8q4VeYxRorqXMJ/dtQ==" spinCount="100000" sheet="1" objects="1" scenarios="1"/>
  <mergeCells count="1">
    <mergeCell ref="S15:Z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19FCE254414464FB4E757C09F66FBBA" ma:contentTypeVersion="13" ma:contentTypeDescription="Skapa ett nytt dokument." ma:contentTypeScope="" ma:versionID="c4eac696c6f89a356a2b685d3d7f184b">
  <xsd:schema xmlns:xsd="http://www.w3.org/2001/XMLSchema" xmlns:xs="http://www.w3.org/2001/XMLSchema" xmlns:p="http://schemas.microsoft.com/office/2006/metadata/properties" xmlns:ns3="a4b65a7d-efae-4a4a-85eb-09be41c07fb7" xmlns:ns4="421214c0-8a49-4cbc-bb51-c296c6eff5f4" targetNamespace="http://schemas.microsoft.com/office/2006/metadata/properties" ma:root="true" ma:fieldsID="54110a1aad9719f6de293b37b95a368d" ns3:_="" ns4:_="">
    <xsd:import namespace="a4b65a7d-efae-4a4a-85eb-09be41c07fb7"/>
    <xsd:import namespace="421214c0-8a49-4cbc-bb51-c296c6eff5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b65a7d-efae-4a4a-85eb-09be41c07fb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SharingHintHash" ma:index="10" nillable="true" ma:displayName="Delar tips,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214c0-8a49-4cbc-bb51-c296c6eff5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1E9FB8-6DA5-439B-AE03-3B622A93A312}"/>
</file>

<file path=customXml/itemProps2.xml><?xml version="1.0" encoding="utf-8"?>
<ds:datastoreItem xmlns:ds="http://schemas.openxmlformats.org/officeDocument/2006/customXml" ds:itemID="{CE8CF069-08E9-45F7-ABF2-3A4C0F4FC52A}"/>
</file>

<file path=customXml/itemProps3.xml><?xml version="1.0" encoding="utf-8"?>
<ds:datastoreItem xmlns:ds="http://schemas.openxmlformats.org/officeDocument/2006/customXml" ds:itemID="{776E4E57-37B5-4561-A66A-31CF78605A9D}"/>
</file>

<file path=docProps/app.xml><?xml version="1.0" encoding="utf-8"?>
<Properties xmlns="http://schemas.openxmlformats.org/officeDocument/2006/extended-properties" xmlns:vt="http://schemas.openxmlformats.org/officeDocument/2006/docPropsVTypes">
  <Application>Microsoft Excel Online</Application>
  <Manager/>
  <Company>Högskolan i Gävle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Peder Kjellén</dc:creator>
  <cp:keywords/>
  <dc:description/>
  <cp:lastModifiedBy>Anders Munck</cp:lastModifiedBy>
  <cp:revision/>
  <dcterms:created xsi:type="dcterms:W3CDTF">2020-05-11T14:37:47Z</dcterms:created>
  <dcterms:modified xsi:type="dcterms:W3CDTF">2023-02-10T14:00:12Z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0x010100119FCE254414464FB4E757C09F66FBBA</vt:lpwstr>
  </property>
</Properties>
</file>